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" i="4" l="1"/>
  <c r="M7" i="4"/>
  <c r="M259" i="3"/>
  <c r="M258" i="3"/>
  <c r="M257" i="3"/>
  <c r="M256" i="3"/>
  <c r="M255" i="3"/>
  <c r="M254" i="3"/>
  <c r="M253" i="3"/>
  <c r="M252" i="3"/>
  <c r="M251" i="3"/>
  <c r="M250" i="3"/>
  <c r="M249" i="3"/>
  <c r="M248" i="3"/>
  <c r="M247" i="3"/>
  <c r="M246" i="3"/>
  <c r="M245" i="3"/>
  <c r="M244" i="3"/>
  <c r="M243" i="3"/>
  <c r="M242" i="3"/>
  <c r="M241" i="3"/>
  <c r="M240" i="3"/>
  <c r="M239" i="3"/>
  <c r="M238" i="3"/>
  <c r="M237" i="3"/>
  <c r="M236" i="3"/>
  <c r="M235" i="3"/>
  <c r="M234" i="3"/>
  <c r="M233" i="3"/>
  <c r="M232" i="3"/>
  <c r="M231" i="3"/>
  <c r="M230" i="3"/>
  <c r="M229" i="3"/>
  <c r="M228" i="3"/>
  <c r="M227" i="3"/>
  <c r="M226" i="3"/>
  <c r="M225" i="3"/>
  <c r="M224" i="3"/>
  <c r="M223" i="3"/>
  <c r="M222" i="3"/>
  <c r="M221" i="3"/>
  <c r="M220" i="3"/>
  <c r="M219" i="3"/>
  <c r="M218" i="3"/>
  <c r="M217" i="3"/>
  <c r="M216" i="3"/>
  <c r="M215" i="3"/>
  <c r="M214" i="3"/>
  <c r="M213" i="3"/>
  <c r="M212" i="3"/>
  <c r="M211" i="3"/>
  <c r="M210" i="3"/>
  <c r="M209" i="3"/>
  <c r="M208" i="3"/>
  <c r="M207" i="3"/>
  <c r="M206" i="3"/>
  <c r="M205" i="3"/>
  <c r="M204" i="3"/>
  <c r="M203" i="3"/>
  <c r="M202" i="3"/>
  <c r="M201" i="3"/>
  <c r="M200" i="3"/>
  <c r="M199" i="3"/>
  <c r="M198" i="3"/>
  <c r="M197" i="3"/>
  <c r="M196" i="3"/>
  <c r="M195" i="3"/>
  <c r="M194" i="3"/>
  <c r="M193" i="3"/>
  <c r="M192" i="3"/>
  <c r="M191" i="3"/>
  <c r="M190" i="3"/>
  <c r="M189" i="3"/>
  <c r="M188" i="3"/>
  <c r="M187" i="3"/>
  <c r="M186" i="3"/>
  <c r="M185" i="3"/>
  <c r="M184" i="3"/>
  <c r="M183" i="3"/>
  <c r="M182" i="3"/>
  <c r="M181" i="3"/>
  <c r="M180" i="3"/>
  <c r="M179" i="3"/>
  <c r="M178" i="3"/>
  <c r="M177" i="3"/>
  <c r="M176" i="3"/>
  <c r="M175" i="3"/>
  <c r="M174" i="3"/>
  <c r="M173" i="3"/>
  <c r="M172" i="3"/>
  <c r="M171" i="3"/>
  <c r="M170" i="3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</calcChain>
</file>

<file path=xl/sharedStrings.xml><?xml version="1.0" encoding="utf-8"?>
<sst xmlns="http://schemas.openxmlformats.org/spreadsheetml/2006/main" count="1160" uniqueCount="813">
  <si>
    <t>Код страны:</t>
  </si>
  <si>
    <t/>
  </si>
  <si>
    <t>Страна:</t>
  </si>
  <si>
    <t>Код шаблона</t>
  </si>
  <si>
    <t>S22.12.6</t>
  </si>
  <si>
    <t>Название секции</t>
  </si>
  <si>
    <t>S22.Вопросник № 12 по статистике населения</t>
  </si>
  <si>
    <t>Название формы</t>
  </si>
  <si>
    <t>12.6.Общие итоги миграции (человек)</t>
  </si>
  <si>
    <t>Версия шаблона</t>
  </si>
  <si>
    <t>Период формы/дата предоставления</t>
  </si>
  <si>
    <t>Год, 25 мая</t>
  </si>
  <si>
    <t>Отчетная дата (последнее число отчетного периода)</t>
  </si>
  <si>
    <t>Раздел 1. Мужчины</t>
  </si>
  <si>
    <t>Наименование показателя</t>
  </si>
  <si>
    <t>Код стр.</t>
  </si>
  <si>
    <t>Число прибывших в страну на постоянное жительство</t>
  </si>
  <si>
    <t>Число выбывших в другие страны на постоянное жительство</t>
  </si>
  <si>
    <t>Всего</t>
  </si>
  <si>
    <t>в том числе в возрасте</t>
  </si>
  <si>
    <t>моложе трудоспособного</t>
  </si>
  <si>
    <t>15-29 лет</t>
  </si>
  <si>
    <t>трудоспособном</t>
  </si>
  <si>
    <t>старше трудоспособного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</si>
  <si>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</si>
  <si>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</si>
  <si>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</si>
  <si>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</si>
  <si>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</si>
  <si>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</si>
  <si>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</si>
  <si>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</si>
  <si>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</si>
  <si>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</si>
  <si>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Международная миграция. Мужчины</t>
  </si>
  <si>
    <t>01</t>
  </si>
  <si>
    <t>Страны - участники СНГ - всего</t>
  </si>
  <si>
    <t>02</t>
  </si>
  <si>
    <t>Азербайджан</t>
  </si>
  <si>
    <t>03</t>
  </si>
  <si>
    <t>Армения</t>
  </si>
  <si>
    <t>04</t>
  </si>
  <si>
    <t>Беларусь</t>
  </si>
  <si>
    <t>05</t>
  </si>
  <si>
    <t>Казахстан</t>
  </si>
  <si>
    <t>06</t>
  </si>
  <si>
    <t>Кыргызстан</t>
  </si>
  <si>
    <t>07</t>
  </si>
  <si>
    <t>Молдова</t>
  </si>
  <si>
    <t>08</t>
  </si>
  <si>
    <t>Россия</t>
  </si>
  <si>
    <t>09</t>
  </si>
  <si>
    <t>Таджикистан</t>
  </si>
  <si>
    <t>Туркменистан</t>
  </si>
  <si>
    <t>11</t>
  </si>
  <si>
    <t>Узбекистан</t>
  </si>
  <si>
    <t>12</t>
  </si>
  <si>
    <t>Украина</t>
  </si>
  <si>
    <t>13</t>
  </si>
  <si>
    <t>Другие зарубежные страны - всего</t>
  </si>
  <si>
    <t>14</t>
  </si>
  <si>
    <t>Афганистан</t>
  </si>
  <si>
    <t>15</t>
  </si>
  <si>
    <t>Албания</t>
  </si>
  <si>
    <t>16</t>
  </si>
  <si>
    <t>Антарктида</t>
  </si>
  <si>
    <t>17</t>
  </si>
  <si>
    <t>Алжир</t>
  </si>
  <si>
    <t>18</t>
  </si>
  <si>
    <t>Американское Самоа</t>
  </si>
  <si>
    <t>19</t>
  </si>
  <si>
    <t>Андорра</t>
  </si>
  <si>
    <t>20</t>
  </si>
  <si>
    <t>Ангола</t>
  </si>
  <si>
    <t>21</t>
  </si>
  <si>
    <t>Антигуа и Барбуда</t>
  </si>
  <si>
    <t>22</t>
  </si>
  <si>
    <t>Аргентина</t>
  </si>
  <si>
    <t>23</t>
  </si>
  <si>
    <t>Австралия</t>
  </si>
  <si>
    <t>24</t>
  </si>
  <si>
    <t>Австрия</t>
  </si>
  <si>
    <t>25</t>
  </si>
  <si>
    <t>Багамы</t>
  </si>
  <si>
    <t>26</t>
  </si>
  <si>
    <t>Бахрейн</t>
  </si>
  <si>
    <t>27</t>
  </si>
  <si>
    <t>Бангладеш</t>
  </si>
  <si>
    <t>28</t>
  </si>
  <si>
    <t>Барбадос</t>
  </si>
  <si>
    <t>29</t>
  </si>
  <si>
    <t>Бельгия</t>
  </si>
  <si>
    <t>30</t>
  </si>
  <si>
    <t>Бермуды</t>
  </si>
  <si>
    <t>31</t>
  </si>
  <si>
    <t>Бутан</t>
  </si>
  <si>
    <t>32</t>
  </si>
  <si>
    <t>Боливия, Многонациональное Государство</t>
  </si>
  <si>
    <t>33</t>
  </si>
  <si>
    <t>Босния и Герцеговина</t>
  </si>
  <si>
    <t>34</t>
  </si>
  <si>
    <t>Ботсвана</t>
  </si>
  <si>
    <t>35</t>
  </si>
  <si>
    <t>Остров Буве</t>
  </si>
  <si>
    <t>36</t>
  </si>
  <si>
    <t>Бразилия</t>
  </si>
  <si>
    <t>37</t>
  </si>
  <si>
    <t>Белиз</t>
  </si>
  <si>
    <t>38</t>
  </si>
  <si>
    <t>Британская территория в Индийском океане</t>
  </si>
  <si>
    <t>39</t>
  </si>
  <si>
    <t>Соломоновы острова</t>
  </si>
  <si>
    <t>40</t>
  </si>
  <si>
    <t>Виргинские острова (Британские)</t>
  </si>
  <si>
    <t>41</t>
  </si>
  <si>
    <t>Бруней-Даруссалам</t>
  </si>
  <si>
    <t>42</t>
  </si>
  <si>
    <t>Болгария</t>
  </si>
  <si>
    <t>43</t>
  </si>
  <si>
    <t>Мьянма</t>
  </si>
  <si>
    <t>44</t>
  </si>
  <si>
    <t>Бурунди</t>
  </si>
  <si>
    <t>45</t>
  </si>
  <si>
    <t>Камбоджа</t>
  </si>
  <si>
    <t>46</t>
  </si>
  <si>
    <t>Камерун</t>
  </si>
  <si>
    <t>47</t>
  </si>
  <si>
    <t>Канада</t>
  </si>
  <si>
    <t>48</t>
  </si>
  <si>
    <t>Кабо-Верде</t>
  </si>
  <si>
    <t>49</t>
  </si>
  <si>
    <t>Острова Кайман</t>
  </si>
  <si>
    <t>50</t>
  </si>
  <si>
    <t>Центрально-Африканская Республика</t>
  </si>
  <si>
    <t>51</t>
  </si>
  <si>
    <t>Шри-Ланка</t>
  </si>
  <si>
    <t>52</t>
  </si>
  <si>
    <t>Чад</t>
  </si>
  <si>
    <t>53</t>
  </si>
  <si>
    <t>Чили</t>
  </si>
  <si>
    <t>54</t>
  </si>
  <si>
    <t>Китай</t>
  </si>
  <si>
    <t>55</t>
  </si>
  <si>
    <t>Тайвань (Китай)</t>
  </si>
  <si>
    <t>56</t>
  </si>
  <si>
    <t>Остров Рождества</t>
  </si>
  <si>
    <t>57</t>
  </si>
  <si>
    <t>Кокосовые (Килинг) острова</t>
  </si>
  <si>
    <t>58</t>
  </si>
  <si>
    <t>Колумбия</t>
  </si>
  <si>
    <t>59</t>
  </si>
  <si>
    <t>Коморы</t>
  </si>
  <si>
    <t>60</t>
  </si>
  <si>
    <t>Майотта</t>
  </si>
  <si>
    <t>61</t>
  </si>
  <si>
    <t>Конго</t>
  </si>
  <si>
    <t>62</t>
  </si>
  <si>
    <t>Конго, Демократическая Республика</t>
  </si>
  <si>
    <t>63</t>
  </si>
  <si>
    <t>Острова Кука</t>
  </si>
  <si>
    <t>64</t>
  </si>
  <si>
    <t>Коста-Рика</t>
  </si>
  <si>
    <t>65</t>
  </si>
  <si>
    <t>Хорватия</t>
  </si>
  <si>
    <t>66</t>
  </si>
  <si>
    <t>Куба</t>
  </si>
  <si>
    <t>67</t>
  </si>
  <si>
    <t>Кипр</t>
  </si>
  <si>
    <t>68</t>
  </si>
  <si>
    <t>Чехия</t>
  </si>
  <si>
    <t>69</t>
  </si>
  <si>
    <t>Бенин</t>
  </si>
  <si>
    <t>70</t>
  </si>
  <si>
    <t>Дания</t>
  </si>
  <si>
    <t>71</t>
  </si>
  <si>
    <t>Доминика</t>
  </si>
  <si>
    <t>72</t>
  </si>
  <si>
    <t>Доминиканская Республика</t>
  </si>
  <si>
    <t>73</t>
  </si>
  <si>
    <t>Эквадор</t>
  </si>
  <si>
    <t>74</t>
  </si>
  <si>
    <t>Эль-Сальвадор</t>
  </si>
  <si>
    <t>75</t>
  </si>
  <si>
    <t>Экваториальная Гвинея</t>
  </si>
  <si>
    <t>76</t>
  </si>
  <si>
    <t>Эфиопия</t>
  </si>
  <si>
    <t>77</t>
  </si>
  <si>
    <t>Эритрея</t>
  </si>
  <si>
    <t>78</t>
  </si>
  <si>
    <t>Эстония</t>
  </si>
  <si>
    <t>79</t>
  </si>
  <si>
    <t>Фарерские острова</t>
  </si>
  <si>
    <t>80</t>
  </si>
  <si>
    <t>Фолклендские острова (Мальвинские)</t>
  </si>
  <si>
    <t>81</t>
  </si>
  <si>
    <t>Южная Джорджия и Южные Сандвичевы острова</t>
  </si>
  <si>
    <t>82</t>
  </si>
  <si>
    <t>Фиджи</t>
  </si>
  <si>
    <t>83</t>
  </si>
  <si>
    <t>Финляндия</t>
  </si>
  <si>
    <t>84</t>
  </si>
  <si>
    <t>Эландские острова</t>
  </si>
  <si>
    <t>85</t>
  </si>
  <si>
    <t>Франция</t>
  </si>
  <si>
    <t>86</t>
  </si>
  <si>
    <t>Французская Гвиана</t>
  </si>
  <si>
    <t>87</t>
  </si>
  <si>
    <t>Французская Полинезия</t>
  </si>
  <si>
    <t>88</t>
  </si>
  <si>
    <t>Французские Южные территории</t>
  </si>
  <si>
    <t>89</t>
  </si>
  <si>
    <t>Джибути</t>
  </si>
  <si>
    <t>90</t>
  </si>
  <si>
    <t>Габон</t>
  </si>
  <si>
    <t>91</t>
  </si>
  <si>
    <t>Грузия</t>
  </si>
  <si>
    <t>92</t>
  </si>
  <si>
    <t>Гамбия</t>
  </si>
  <si>
    <t>93</t>
  </si>
  <si>
    <t>Палестина, Государство</t>
  </si>
  <si>
    <t>94</t>
  </si>
  <si>
    <t>Германия</t>
  </si>
  <si>
    <t>95</t>
  </si>
  <si>
    <t>Гана</t>
  </si>
  <si>
    <t>96</t>
  </si>
  <si>
    <t>Гибралтар</t>
  </si>
  <si>
    <t>97</t>
  </si>
  <si>
    <t>Кирибати</t>
  </si>
  <si>
    <t>98</t>
  </si>
  <si>
    <t>Греция</t>
  </si>
  <si>
    <t>99</t>
  </si>
  <si>
    <t>Гренландия</t>
  </si>
  <si>
    <t>100</t>
  </si>
  <si>
    <t>Гренада</t>
  </si>
  <si>
    <t>101</t>
  </si>
  <si>
    <t>Гваделупа</t>
  </si>
  <si>
    <t>102</t>
  </si>
  <si>
    <t>Гуам</t>
  </si>
  <si>
    <t>103</t>
  </si>
  <si>
    <t>Гватемала</t>
  </si>
  <si>
    <t>104</t>
  </si>
  <si>
    <t>Гвинея</t>
  </si>
  <si>
    <t>105</t>
  </si>
  <si>
    <t>Гайана</t>
  </si>
  <si>
    <t>106</t>
  </si>
  <si>
    <t>Гаити</t>
  </si>
  <si>
    <t>107</t>
  </si>
  <si>
    <t>Остров Херд и Острова Макдональд</t>
  </si>
  <si>
    <t>108</t>
  </si>
  <si>
    <t>Папский Престол (Государство - Город Ватикан)</t>
  </si>
  <si>
    <t>109</t>
  </si>
  <si>
    <t>Гондурас</t>
  </si>
  <si>
    <t>110</t>
  </si>
  <si>
    <t>Гонконг</t>
  </si>
  <si>
    <t>111</t>
  </si>
  <si>
    <t>Венгрия</t>
  </si>
  <si>
    <t>112</t>
  </si>
  <si>
    <t>Исландия</t>
  </si>
  <si>
    <t>113</t>
  </si>
  <si>
    <t>Индия</t>
  </si>
  <si>
    <t>114</t>
  </si>
  <si>
    <t>Индонезия</t>
  </si>
  <si>
    <t>115</t>
  </si>
  <si>
    <t>Иран (Исламская Республика)</t>
  </si>
  <si>
    <t>116</t>
  </si>
  <si>
    <t>Ирак</t>
  </si>
  <si>
    <t>117</t>
  </si>
  <si>
    <t>Ирландия</t>
  </si>
  <si>
    <t>118</t>
  </si>
  <si>
    <t>Израиль</t>
  </si>
  <si>
    <t>119</t>
  </si>
  <si>
    <t>Италия</t>
  </si>
  <si>
    <t>120</t>
  </si>
  <si>
    <t>Кот д'Ивуар</t>
  </si>
  <si>
    <t>121</t>
  </si>
  <si>
    <t>Ямайка</t>
  </si>
  <si>
    <t>122</t>
  </si>
  <si>
    <t>Япония</t>
  </si>
  <si>
    <t>123</t>
  </si>
  <si>
    <t>Иордания</t>
  </si>
  <si>
    <t>124</t>
  </si>
  <si>
    <t>Кения</t>
  </si>
  <si>
    <t>125</t>
  </si>
  <si>
    <t>Корея, Народно-Демократическая Республика</t>
  </si>
  <si>
    <t>126</t>
  </si>
  <si>
    <t>Корея, Республика</t>
  </si>
  <si>
    <t>127</t>
  </si>
  <si>
    <t>Кувейт</t>
  </si>
  <si>
    <t>128</t>
  </si>
  <si>
    <t>Лаосская Народно-Демократическая Республика</t>
  </si>
  <si>
    <t>129</t>
  </si>
  <si>
    <t>Ливан</t>
  </si>
  <si>
    <t>130</t>
  </si>
  <si>
    <t>Лесото</t>
  </si>
  <si>
    <t>131</t>
  </si>
  <si>
    <t>Латвия</t>
  </si>
  <si>
    <t>132</t>
  </si>
  <si>
    <t>Либерия</t>
  </si>
  <si>
    <t>133</t>
  </si>
  <si>
    <t>Ливия</t>
  </si>
  <si>
    <t>134</t>
  </si>
  <si>
    <t>Лихтенштейн</t>
  </si>
  <si>
    <t>135</t>
  </si>
  <si>
    <t>Литва</t>
  </si>
  <si>
    <t>136</t>
  </si>
  <si>
    <t>Люксембург</t>
  </si>
  <si>
    <t>137</t>
  </si>
  <si>
    <t>Макао</t>
  </si>
  <si>
    <t>138</t>
  </si>
  <si>
    <t>Мадагаскар</t>
  </si>
  <si>
    <t>139</t>
  </si>
  <si>
    <t>Малави</t>
  </si>
  <si>
    <t>140</t>
  </si>
  <si>
    <t>Малайзия</t>
  </si>
  <si>
    <t>141</t>
  </si>
  <si>
    <t>Мальдивы</t>
  </si>
  <si>
    <t>142</t>
  </si>
  <si>
    <t>Мали</t>
  </si>
  <si>
    <t>143</t>
  </si>
  <si>
    <t>Мальта</t>
  </si>
  <si>
    <t>144</t>
  </si>
  <si>
    <t>Мартиника</t>
  </si>
  <si>
    <t>145</t>
  </si>
  <si>
    <t>Мавритания</t>
  </si>
  <si>
    <t>146</t>
  </si>
  <si>
    <t>Маврикий</t>
  </si>
  <si>
    <t>147</t>
  </si>
  <si>
    <t>Мексика</t>
  </si>
  <si>
    <t>148</t>
  </si>
  <si>
    <t>Монако</t>
  </si>
  <si>
    <t>149</t>
  </si>
  <si>
    <t>Монголия</t>
  </si>
  <si>
    <t>150</t>
  </si>
  <si>
    <t>Черногория</t>
  </si>
  <si>
    <t>151</t>
  </si>
  <si>
    <t>Монтсеррат</t>
  </si>
  <si>
    <t>152</t>
  </si>
  <si>
    <t>Марокко</t>
  </si>
  <si>
    <t>153</t>
  </si>
  <si>
    <t>Мозамбик</t>
  </si>
  <si>
    <t>154</t>
  </si>
  <si>
    <t>Оман</t>
  </si>
  <si>
    <t>155</t>
  </si>
  <si>
    <t>Намибия</t>
  </si>
  <si>
    <t>156</t>
  </si>
  <si>
    <t>Науру</t>
  </si>
  <si>
    <t>157</t>
  </si>
  <si>
    <t>Непал</t>
  </si>
  <si>
    <t>158</t>
  </si>
  <si>
    <t>Нидерланды</t>
  </si>
  <si>
    <t>159</t>
  </si>
  <si>
    <t>Кюрасао</t>
  </si>
  <si>
    <t>160</t>
  </si>
  <si>
    <t>Аруба</t>
  </si>
  <si>
    <t>161</t>
  </si>
  <si>
    <t>Сен-Мартен (Нидерландская часть)</t>
  </si>
  <si>
    <t>162</t>
  </si>
  <si>
    <t>Бонэйр, Синт-Эстатиус и Саба</t>
  </si>
  <si>
    <t>163</t>
  </si>
  <si>
    <t>Новая Каледония</t>
  </si>
  <si>
    <t>164</t>
  </si>
  <si>
    <t>Вануату</t>
  </si>
  <si>
    <t>165</t>
  </si>
  <si>
    <t>Новая Зеландия</t>
  </si>
  <si>
    <t>166</t>
  </si>
  <si>
    <t>Никарагуа</t>
  </si>
  <si>
    <t>167</t>
  </si>
  <si>
    <t>Нигер</t>
  </si>
  <si>
    <t>168</t>
  </si>
  <si>
    <t>Нигерия</t>
  </si>
  <si>
    <t>169</t>
  </si>
  <si>
    <t>Ниуэ</t>
  </si>
  <si>
    <t>170</t>
  </si>
  <si>
    <t>Остров Норфолк</t>
  </si>
  <si>
    <t>171</t>
  </si>
  <si>
    <t>Норвегия</t>
  </si>
  <si>
    <t>172</t>
  </si>
  <si>
    <t>Северные Марианские острова</t>
  </si>
  <si>
    <t>173</t>
  </si>
  <si>
    <t>Малые Тихоокеанские отдаленные острова Соединенных Штатов</t>
  </si>
  <si>
    <t>174</t>
  </si>
  <si>
    <t>Микронезия, Федеративные Штаты</t>
  </si>
  <si>
    <t>175</t>
  </si>
  <si>
    <t>Маршалловы острова</t>
  </si>
  <si>
    <t>176</t>
  </si>
  <si>
    <t>Палау</t>
  </si>
  <si>
    <t>177</t>
  </si>
  <si>
    <t>Пакистан</t>
  </si>
  <si>
    <t>178</t>
  </si>
  <si>
    <t>Панама</t>
  </si>
  <si>
    <t>179</t>
  </si>
  <si>
    <t>Папуа-Новая Гвинея</t>
  </si>
  <si>
    <t>180</t>
  </si>
  <si>
    <t>Парагвай</t>
  </si>
  <si>
    <t>181</t>
  </si>
  <si>
    <t>Перу</t>
  </si>
  <si>
    <t>182</t>
  </si>
  <si>
    <t>Филиппины</t>
  </si>
  <si>
    <t>183</t>
  </si>
  <si>
    <t>Питкерн</t>
  </si>
  <si>
    <t>184</t>
  </si>
  <si>
    <t>Польша</t>
  </si>
  <si>
    <t>185</t>
  </si>
  <si>
    <t>Португалия</t>
  </si>
  <si>
    <t>186</t>
  </si>
  <si>
    <t>Гвинея-Бисау</t>
  </si>
  <si>
    <t>187</t>
  </si>
  <si>
    <t>Тимор-Лесте</t>
  </si>
  <si>
    <t>188</t>
  </si>
  <si>
    <t>Пуэрто-Рико</t>
  </si>
  <si>
    <t>189</t>
  </si>
  <si>
    <t>Катар</t>
  </si>
  <si>
    <t>190</t>
  </si>
  <si>
    <t>Реюньон</t>
  </si>
  <si>
    <t>191</t>
  </si>
  <si>
    <t>Румыния</t>
  </si>
  <si>
    <t>192</t>
  </si>
  <si>
    <t>Руанда</t>
  </si>
  <si>
    <t>193</t>
  </si>
  <si>
    <t>Сен-Бартелеми</t>
  </si>
  <si>
    <t>194</t>
  </si>
  <si>
    <t>Святая Елена, Остров Вознесения, Тристан-да-Кунья</t>
  </si>
  <si>
    <t>195</t>
  </si>
  <si>
    <t>Сент-Китс и Невис</t>
  </si>
  <si>
    <t>196</t>
  </si>
  <si>
    <t>Ангилья</t>
  </si>
  <si>
    <t>197</t>
  </si>
  <si>
    <t>Сент-Люсия</t>
  </si>
  <si>
    <t>198</t>
  </si>
  <si>
    <t>Сен-Мартен (Французская часть)</t>
  </si>
  <si>
    <t>199</t>
  </si>
  <si>
    <t>Сен-Пьер и Микелон</t>
  </si>
  <si>
    <t>200</t>
  </si>
  <si>
    <t>Сент-Винсент и Гренадины</t>
  </si>
  <si>
    <t>201</t>
  </si>
  <si>
    <t>Сан-Марино</t>
  </si>
  <si>
    <t>202</t>
  </si>
  <si>
    <t>Сан-Томе и Принсипи</t>
  </si>
  <si>
    <t>203</t>
  </si>
  <si>
    <t>Саудовская Аравия</t>
  </si>
  <si>
    <t>204</t>
  </si>
  <si>
    <t>Сенегал</t>
  </si>
  <si>
    <t>205</t>
  </si>
  <si>
    <t>Сербия</t>
  </si>
  <si>
    <t>206</t>
  </si>
  <si>
    <t>Сейшелы</t>
  </si>
  <si>
    <t>207</t>
  </si>
  <si>
    <t>Сьерра-Леоне</t>
  </si>
  <si>
    <t>208</t>
  </si>
  <si>
    <t>Сингапур</t>
  </si>
  <si>
    <t>209</t>
  </si>
  <si>
    <t>Словакия</t>
  </si>
  <si>
    <t>210</t>
  </si>
  <si>
    <t>Вьетнам</t>
  </si>
  <si>
    <t>211</t>
  </si>
  <si>
    <t>Словения</t>
  </si>
  <si>
    <t>212</t>
  </si>
  <si>
    <t>Сомали</t>
  </si>
  <si>
    <t>213</t>
  </si>
  <si>
    <t>Южная Африка</t>
  </si>
  <si>
    <t>214</t>
  </si>
  <si>
    <t>Зимбабве</t>
  </si>
  <si>
    <t>215</t>
  </si>
  <si>
    <t>Испания</t>
  </si>
  <si>
    <t>216</t>
  </si>
  <si>
    <t>Западная Сахара</t>
  </si>
  <si>
    <t>217</t>
  </si>
  <si>
    <t>Судан</t>
  </si>
  <si>
    <t>218</t>
  </si>
  <si>
    <t>Суринам</t>
  </si>
  <si>
    <t>219</t>
  </si>
  <si>
    <t>Шпицберген и Ян Майен</t>
  </si>
  <si>
    <t>220</t>
  </si>
  <si>
    <t>Эсватини</t>
  </si>
  <si>
    <t>221</t>
  </si>
  <si>
    <t>Швеция</t>
  </si>
  <si>
    <t>222</t>
  </si>
  <si>
    <t>Швейцария</t>
  </si>
  <si>
    <t>223</t>
  </si>
  <si>
    <t>Сирийская Арабская Республика</t>
  </si>
  <si>
    <t>224</t>
  </si>
  <si>
    <t>Таиланд</t>
  </si>
  <si>
    <t>225</t>
  </si>
  <si>
    <t>Того</t>
  </si>
  <si>
    <t>226</t>
  </si>
  <si>
    <t>Токелау</t>
  </si>
  <si>
    <t>227</t>
  </si>
  <si>
    <t>Тонга</t>
  </si>
  <si>
    <t>228</t>
  </si>
  <si>
    <t>Тринидад и Тобаго</t>
  </si>
  <si>
    <t>229</t>
  </si>
  <si>
    <t>Объединенные Арабские Эмираты</t>
  </si>
  <si>
    <t>230</t>
  </si>
  <si>
    <t>Тунис</t>
  </si>
  <si>
    <t>231</t>
  </si>
  <si>
    <t>Турция</t>
  </si>
  <si>
    <t>232</t>
  </si>
  <si>
    <t>Острова Теркс и Кайкос</t>
  </si>
  <si>
    <t>233</t>
  </si>
  <si>
    <t>Тувалу</t>
  </si>
  <si>
    <t>234</t>
  </si>
  <si>
    <t>Уганда</t>
  </si>
  <si>
    <t>235</t>
  </si>
  <si>
    <t>Северная Македония</t>
  </si>
  <si>
    <t>236</t>
  </si>
  <si>
    <t>Египет</t>
  </si>
  <si>
    <t>237</t>
  </si>
  <si>
    <t>Соединенное Королевство</t>
  </si>
  <si>
    <t>238</t>
  </si>
  <si>
    <t>Гернси</t>
  </si>
  <si>
    <t>239</t>
  </si>
  <si>
    <t>Джерси</t>
  </si>
  <si>
    <t>240</t>
  </si>
  <si>
    <t>Остров Мэн</t>
  </si>
  <si>
    <t>241</t>
  </si>
  <si>
    <t>Танзания, Объединенная Республика</t>
  </si>
  <si>
    <t>242</t>
  </si>
  <si>
    <t>Соединенные Штаты</t>
  </si>
  <si>
    <t>243</t>
  </si>
  <si>
    <t>Виргинские острова (США)</t>
  </si>
  <si>
    <t>244</t>
  </si>
  <si>
    <t>Буркина-Фасо</t>
  </si>
  <si>
    <t>245</t>
  </si>
  <si>
    <t>Уругвай</t>
  </si>
  <si>
    <t>246</t>
  </si>
  <si>
    <t>Венесуэла (Боливарианская Республика)</t>
  </si>
  <si>
    <t>247</t>
  </si>
  <si>
    <t>Уоллис и Футуна</t>
  </si>
  <si>
    <t>248</t>
  </si>
  <si>
    <t>Самоа</t>
  </si>
  <si>
    <t>249</t>
  </si>
  <si>
    <t>Йемен</t>
  </si>
  <si>
    <t>250</t>
  </si>
  <si>
    <t>Замбия</t>
  </si>
  <si>
    <t>251</t>
  </si>
  <si>
    <t>Южный Судан</t>
  </si>
  <si>
    <t>252</t>
  </si>
  <si>
    <t>Не указавшие страну</t>
  </si>
  <si>
    <t>253</t>
  </si>
  <si>
    <t>Примечание</t>
  </si>
  <si>
    <t>Укажите границы трудоспособного возраста мужчин и  женщин в строке "Примечание пользователя"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</si>
  <si>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</si>
  <si>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</si>
  <si>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</si>
  <si>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</si>
  <si>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</si>
  <si>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</si>
  <si>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</si>
  <si>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Раздел 2. Женщины</t>
  </si>
  <si>
    <t>Число прибывших на постоянное жительство</t>
  </si>
  <si>
    <t>Число выбывших на постоянное жительство</t>
  </si>
  <si>
    <t>в том числе в возрасте:</t>
  </si>
  <si>
    <t>Международная миграция. Женщины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</si>
  <si>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</si>
  <si>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</si>
  <si>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</si>
  <si>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</si>
  <si>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</si>
  <si>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</si>
  <si>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</si>
  <si>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</si>
  <si>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</si>
  <si>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</si>
  <si>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</si>
  <si>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</si>
  <si>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</si>
  <si>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</si>
  <si>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</si>
  <si>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</si>
  <si>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</si>
  <si>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</si>
  <si>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</si>
  <si>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</si>
  <si>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</si>
  <si>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</si>
  <si>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</si>
  <si>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</si>
  <si>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</si>
  <si>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</si>
  <si>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</si>
  <si>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</si>
  <si>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</si>
  <si>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</si>
  <si>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</si>
  <si>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</si>
  <si>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</si>
  <si>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</si>
  <si>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</si>
  <si>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</si>
  <si>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</si>
  <si>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</si>
  <si>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</si>
  <si>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</si>
  <si>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</si>
  <si>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</si>
  <si>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</si>
  <si>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</si>
  <si>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</si>
  <si>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</si>
  <si>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</si>
  <si>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</si>
  <si>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</si>
  <si>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</si>
  <si>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</si>
  <si>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</si>
  <si>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</si>
  <si>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</si>
  <si>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</si>
  <si>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</si>
  <si>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</si>
  <si>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</si>
  <si>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</si>
  <si>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</si>
  <si>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</si>
  <si>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</si>
  <si>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</si>
  <si>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</si>
  <si>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</si>
  <si>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</si>
  <si>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</si>
  <si>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</si>
  <si>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</si>
  <si>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</si>
  <si>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</si>
  <si>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</si>
  <si>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</si>
  <si>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</si>
  <si>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</si>
  <si>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</si>
  <si>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</si>
  <si>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</si>
  <si>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</si>
  <si>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</si>
  <si>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</si>
  <si>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</si>
  <si>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</si>
  <si>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</si>
  <si>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</si>
  <si>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</si>
  <si>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</si>
  <si>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</si>
  <si>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</si>
  <si>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</si>
  <si>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</si>
  <si>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</si>
  <si>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</si>
  <si>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</si>
  <si>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</si>
  <si>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</si>
  <si>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</si>
  <si>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</si>
  <si>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</si>
  <si>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</si>
  <si>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</si>
  <si>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</si>
  <si>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</si>
  <si>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</si>
  <si>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</si>
  <si>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</si>
  <si>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</si>
  <si>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</si>
  <si>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</si>
  <si>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</si>
  <si>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</si>
  <si>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</si>
  <si>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</si>
  <si>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</si>
  <si>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</si>
  <si>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</si>
  <si>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</si>
  <si>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</si>
  <si>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</si>
  <si>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</si>
  <si>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</si>
  <si>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</si>
  <si>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</si>
  <si>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</si>
  <si>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</si>
  <si>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</si>
  <si>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</si>
  <si>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</si>
  <si>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</si>
  <si>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</si>
  <si>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</si>
  <si>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</si>
  <si>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</si>
  <si>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</si>
  <si>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</si>
  <si>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</si>
  <si>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</si>
  <si>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</si>
  <si>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</si>
  <si>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</si>
  <si>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</si>
  <si>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</si>
  <si>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</si>
  <si>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</si>
  <si>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</si>
  <si>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</si>
  <si>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</si>
  <si>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</si>
  <si>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</si>
  <si>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</si>
  <si>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</si>
  <si>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</si>
  <si>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</si>
  <si>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</si>
  <si>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</si>
  <si>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</si>
  <si>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</si>
  <si>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</si>
  <si>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</si>
  <si>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</si>
  <si>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</si>
  <si>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</si>
  <si>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</si>
  <si>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</si>
  <si>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</si>
  <si>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</si>
  <si>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</si>
  <si>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</si>
  <si>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</si>
  <si>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</si>
  <si>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</si>
  <si>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</si>
  <si>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</si>
  <si>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</si>
  <si>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</si>
  <si>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</si>
  <si>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</si>
  <si>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</si>
  <si>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</si>
  <si>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</si>
  <si>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</si>
  <si>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</si>
  <si>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</si>
  <si>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</si>
  <si>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</si>
  <si>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</si>
  <si>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</si>
  <si>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</si>
  <si>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</si>
  <si>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</si>
  <si>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</si>
  <si>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</si>
  <si>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</si>
  <si>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</si>
  <si>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</si>
  <si>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</si>
  <si>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</si>
  <si>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</si>
  <si>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</si>
  <si>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</si>
  <si>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</si>
  <si>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</si>
  <si>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</si>
  <si>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</si>
  <si>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</si>
  <si>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</si>
  <si>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</si>
  <si>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</si>
  <si>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</si>
  <si>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</si>
  <si>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</si>
  <si>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</si>
  <si>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</si>
  <si>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</si>
  <si>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</si>
  <si>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</si>
  <si>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</si>
  <si>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</si>
  <si>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</si>
  <si>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</si>
  <si>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</si>
  <si>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</si>
  <si>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</si>
  <si>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</si>
  <si>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</si>
  <si>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</si>
  <si>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</si>
  <si>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</si>
  <si>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</si>
  <si>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</si>
  <si>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</si>
  <si>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</si>
  <si>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</si>
  <si>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</si>
  <si>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</si>
  <si>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</si>
  <si>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</si>
  <si>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</si>
  <si>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</si>
  <si>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</si>
  <si>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</si>
  <si>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</si>
  <si>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</si>
  <si>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</si>
  <si>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</si>
  <si>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</si>
  <si>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</si>
  <si>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</si>
  <si>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</si>
  <si>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</si>
  <si>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</si>
  <si>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</si>
  <si>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</si>
  <si>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Раздел 3. Внутригосударственная миграция мужчины и женщины</t>
  </si>
  <si>
    <t>Внутригосударственная миграция - мужчины</t>
  </si>
  <si>
    <t>Численность внутригосударственных мигрантов</t>
  </si>
  <si>
    <t>507</t>
  </si>
  <si>
    <t>Внутригосударственная миграция - женщины</t>
  </si>
  <si>
    <t>508</t>
  </si>
  <si>
    <t>Укажите границы трудоспособного возраста: мужчины____женщины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</si>
</sst>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3" fillId="2" borderId="1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067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8">
        <v>2023</v>
      </c>
    </row>
    <row r="7" spans="1:2" x14ac:dyDescent="0.25">
      <c r="A7" s="2" t="s">
        <v>10</v>
      </c>
      <c r="B7" s="2" t="s">
        <v>11</v>
      </c>
    </row>
    <row r="8" spans="1:2" ht="30" x14ac:dyDescent="0.25">
      <c r="A8" s="2" t="s">
        <v>12</v>
      </c>
      <c r="B8" s="4">
        <v>45657.611215277779</v>
      </c>
    </row>
  </sheetData>
  <sheetProtection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0"/>
  <sheetViews>
    <sheetView showGridLines="0" workbookViewId="0"/>
  </sheetViews>
  <sheetFormatPr defaultRowHeight="15" x14ac:dyDescent="0.25"/>
  <cols>
    <col min="1" max="1" width="63.28515625" customWidth="1"/>
    <col min="2" max="2" width="10" customWidth="1"/>
    <col min="13" max="13" width="250" customWidth="1"/>
  </cols>
  <sheetData>
    <row r="1" spans="1:13" ht="50.1" customHeight="1" x14ac:dyDescent="0.25">
      <c r="A1" s="12" t="s">
        <v>13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3" x14ac:dyDescent="0.25">
      <c r="A2" s="14" t="s">
        <v>14</v>
      </c>
      <c r="B2" s="14" t="s">
        <v>15</v>
      </c>
      <c r="C2" s="14" t="s">
        <v>16</v>
      </c>
      <c r="D2" s="14"/>
      <c r="E2" s="14"/>
      <c r="F2" s="14"/>
      <c r="G2" s="14"/>
      <c r="H2" s="14" t="s">
        <v>17</v>
      </c>
      <c r="I2" s="14"/>
      <c r="J2" s="14"/>
      <c r="K2" s="14"/>
      <c r="L2" s="14"/>
    </row>
    <row r="3" spans="1:13" x14ac:dyDescent="0.25">
      <c r="A3" s="14"/>
      <c r="B3" s="14"/>
      <c r="C3" s="14" t="s">
        <v>18</v>
      </c>
      <c r="D3" s="14" t="s">
        <v>19</v>
      </c>
      <c r="E3" s="14"/>
      <c r="F3" s="14"/>
      <c r="G3" s="14"/>
      <c r="H3" s="14" t="s">
        <v>18</v>
      </c>
      <c r="I3" s="14" t="s">
        <v>19</v>
      </c>
      <c r="J3" s="14"/>
      <c r="K3" s="14"/>
      <c r="L3" s="14"/>
    </row>
    <row r="4" spans="1:13" ht="60" x14ac:dyDescent="0.25">
      <c r="A4" s="14"/>
      <c r="B4" s="14"/>
      <c r="C4" s="14"/>
      <c r="D4" s="1" t="s">
        <v>20</v>
      </c>
      <c r="E4" s="1" t="s">
        <v>21</v>
      </c>
      <c r="F4" s="1" t="s">
        <v>22</v>
      </c>
      <c r="G4" s="1" t="s">
        <v>23</v>
      </c>
      <c r="H4" s="14"/>
      <c r="I4" s="1" t="s">
        <v>20</v>
      </c>
      <c r="J4" s="1" t="s">
        <v>21</v>
      </c>
      <c r="K4" s="1" t="s">
        <v>22</v>
      </c>
      <c r="L4" s="1" t="s">
        <v>23</v>
      </c>
    </row>
    <row r="5" spans="1:13" x14ac:dyDescent="0.25">
      <c r="A5" s="14"/>
      <c r="B5" s="14"/>
      <c r="C5" s="1" t="s">
        <v>24</v>
      </c>
      <c r="D5" s="1" t="s">
        <v>25</v>
      </c>
      <c r="E5" s="1" t="s">
        <v>26</v>
      </c>
      <c r="F5" s="1" t="s">
        <v>27</v>
      </c>
      <c r="G5" s="1" t="s">
        <v>28</v>
      </c>
      <c r="H5" s="1" t="s">
        <v>29</v>
      </c>
      <c r="I5" s="1" t="s">
        <v>30</v>
      </c>
      <c r="J5" s="1" t="s">
        <v>31</v>
      </c>
      <c r="K5" s="1" t="s">
        <v>32</v>
      </c>
      <c r="L5" s="1" t="s">
        <v>33</v>
      </c>
    </row>
    <row r="6" spans="1:13" ht="30" customHeight="1" x14ac:dyDescent="0.25">
      <c r="A6" s="2" t="s">
        <v>34</v>
      </c>
      <c r="B6" s="1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3" ht="30" customHeight="1" x14ac:dyDescent="0.25">
      <c r="A7" s="2" t="s">
        <v>18</v>
      </c>
      <c r="B7" s="1" t="s">
        <v>35</v>
      </c>
      <c r="C7" s="7"/>
      <c r="D7" s="7"/>
      <c r="E7" s="7"/>
      <c r="F7" s="7"/>
      <c r="G7" s="7"/>
      <c r="H7" s="7"/>
      <c r="I7" s="7"/>
      <c r="J7" s="7"/>
      <c r="K7" s="7"/>
      <c r="L7" s="7"/>
      <c r="M7" s="3" t="str">
        <f>IFERROR(IF(C7=ROUND(C8+C20+C259,0)," "," Стр. 01, Гр. 1 [C7]  д.б. = [Окр(C8+C20+C259,0)] {" &amp; ROUND(C8+C20+C259,0) &amp; "}.")," ") &amp; IFERROR(IF(C7&lt;=ROUND(D7+SUM(F7:G7),0)," "," Стр. 01, Гр. 1 [C7]  д.б. &lt;= [Окр(D7+Сум(F7:G7),0)] {" &amp; ROUND(D7+SUM(F7:G7),0) &amp; "}.")," ") &amp; IFERROR(IF(D7=ROUND(D8+D20+D259,0)," "," Стр. 01, Гр. 2 [D7]  д.б. = [Окр(D8+D20+D259,0)] {" &amp; ROUND(D8+D20+D259,0) &amp; "}.")," ") &amp; IFERROR(IF(E7=ROUND(E8+E20+E259,0)," "," Стр. 01, Гр. 3 [E7]  д.б. = [Окр(E8+E20+E259,0)] {" &amp; ROUND(E8+E20+E259,0) &amp; "}.")," ") &amp; IFERROR(IF(F7=ROUND(F8+F20+F259,0)," "," Стр. 01, Гр. 4 [F7]  д.б. = [Окр(F8+F20+F259,0)] {" &amp; ROUND(F8+F20+F259,0) &amp; "}.")," ") &amp; IFERROR(IF(G7=ROUND(G8+G20+G259,0)," "," Стр. 01, Гр. 5 [G7]  д.б. = [Окр(G8+G20+G259,0)] {" &amp; ROUND(G8+G20+G259,0) &amp; "}.")," ") &amp; IFERROR(IF(H7=ROUND(H8+H20+H26,0)," "," Стр. 01, Гр. 6 [H7]  д.б. = [Окр(H8+H20+H26,0)] {" &amp; ROUND(H8+H20+H26,0) &amp; "}.")," ") &amp; IFERROR(IF(H7=ROUND(I7+SUM(K7:L7),0)," "," Стр. 01, Гр. 6 [H7]  д.б. = [Окр(I7+Сум(K7:L7),0)] {" &amp; ROUND(I7+SUM(K7:L7),0) &amp; "}.")," ") &amp; IFERROR(IF(I7=ROUND(I8+I20+I259,0)," "," Стр. 01, Гр. 7 [I7]  д.б. = [Окр(I8+I20+I259,0)] {" &amp; ROUND(I8+I20+I259,0) &amp; "}.")," ") &amp; IFERROR(IF(J7=ROUND(J8+J20+J259,0)," "," Стр. 01, Гр. 8 [J7]  д.б. = [Окр(J8+J20+J259,0)] {" &amp; ROUND(J8+J20+J259,0) &amp; "}.")," ") &amp; IFERROR(IF(K7=ROUND(K8+K20+K259,0)," "," Стр. 01, Гр. 9 [K7]  д.б. = [Окр(K8+K20+K259,0)] {" &amp; ROUND(K8+K20+K259,0) &amp; "}.")," ") &amp; IFERROR(IF(L7=ROUND(L8+L20+L259,0)," "," Стр. 01, Гр. 10 [L7]  д.б. = [Окр(L8+L20+L259,0)] {" &amp; ROUND(L8+L20+L259,0) &amp; "}.")," ")</f>
        <v xml:space="preserve">            </v>
      </c>
    </row>
    <row r="8" spans="1:13" ht="30" customHeight="1" x14ac:dyDescent="0.25">
      <c r="A8" s="2" t="s">
        <v>36</v>
      </c>
      <c r="B8" s="1" t="s">
        <v>37</v>
      </c>
      <c r="C8" s="7"/>
      <c r="D8" s="7"/>
      <c r="E8" s="7"/>
      <c r="F8" s="7"/>
      <c r="G8" s="7"/>
      <c r="H8" s="7"/>
      <c r="I8" s="7"/>
      <c r="J8" s="7"/>
      <c r="K8" s="7"/>
      <c r="L8" s="7"/>
      <c r="M8" s="3" t="str">
        <f>IFERROR(IF(C8=ROUND(SUM(C9:C19),0)," "," Стр. 02, Гр. 1 [C8]  д.б. = [Окр(Сум(C9:C19),0)] {" &amp; ROUND(SUM(C9:C19),0) &amp; "}.")," ") &amp; IFERROR(IF(C8=ROUND(D8+SUM(F8:G8),0)," "," Стр. 02, Гр. 1 [C8]  д.б. = [Окр(D8+Сум(F8:G8),0)] {" &amp; ROUND(D8+SUM(F8:G8),0) &amp; "}.")," ") &amp; IFERROR(IF(D8=ROUND(SUM(D9:D19),0)," "," Стр. 02, Гр. 2 [D8]  д.б. = [Окр(Сум(D9:D19),0)] {" &amp; ROUND(SUM(D9:D19),0) &amp; "}.")," ") &amp; IFERROR(IF(E8=ROUND(SUM(E9:E19),0)," "," Стр. 02, Гр. 3 [E8]  д.б. = [Окр(Сум(E9:E19),0)] {" &amp; ROUND(SUM(E9:E19),0) &amp; "}.")," ") &amp; IFERROR(IF(F8=ROUND(SUM(F9:F19),0)," "," Стр. 02, Гр. 4 [F8]  д.б. = [Окр(Сум(F9:F19),0)] {" &amp; ROUND(SUM(F9:F19),0) &amp; "}.")," ") &amp; IFERROR(IF(G8=ROUND(SUM(G9:G19),0)," "," Стр. 02, Гр. 5 [G8]  д.б. = [Окр(Сум(G9:G19),0)] {" &amp; ROUND(SUM(G9:G19),0) &amp; "}.")," ") &amp; IFERROR(IF(H8=ROUND(SUM(H9:H19),0)," "," Стр. 02, Гр. 6 [H8]  д.б. = [Окр(Сум(H9:H19),0)] {" &amp; ROUND(SUM(H9:H19),0) &amp; "}.")," ") &amp; IFERROR(IF(H8=ROUND(I8+SUM(K8:L8),0)," "," Стр. 02, Гр. 6 [H8]  д.б. = [Окр(I8+Сум(K8:L8),0)] {" &amp; ROUND(I8+SUM(K8:L8),0) &amp; "}.")," ") &amp; IFERROR(IF(I8=ROUND(SUM(I9:I19),0)," "," Стр. 02, Гр. 7 [I8]  д.б. = [Окр(Сум(I9:I19),0)] {" &amp; ROUND(SUM(I9:I19),0) &amp; "}.")," ") &amp; IFERROR(IF(J8=ROUND(SUM(J9:J19),0)," "," Стр. 02, Гр. 8 [J8]  д.б. = [Окр(Сум(J9:J19),0)] {" &amp; ROUND(SUM(J9:J19),0) &amp; "}.")," ") &amp; IFERROR(IF(K8=ROUND(SUM(K9:K19),0)," "," Стр. 02, Гр. 9 [K8]  д.б. = [Окр(Сум(K9:K19),0)] {" &amp; ROUND(SUM(K9:K19),0) &amp; "}.")," ") &amp; IFERROR(IF(L8=ROUND(SUM(L9:L19),0)," "," Стр. 02, Гр. 10 [L8]  д.б. = [Окр(Сум(L9:L19),0)] {" &amp; ROUND(SUM(L9:L19),0) &amp; "}.")," ")</f>
        <v xml:space="preserve">            </v>
      </c>
    </row>
    <row r="9" spans="1:13" ht="30" customHeight="1" x14ac:dyDescent="0.25">
      <c r="A9" s="2" t="s">
        <v>38</v>
      </c>
      <c r="B9" s="1" t="s">
        <v>39</v>
      </c>
      <c r="C9" s="7"/>
      <c r="D9" s="7"/>
      <c r="E9" s="7"/>
      <c r="F9" s="7"/>
      <c r="G9" s="7"/>
      <c r="H9" s="7"/>
      <c r="I9" s="7"/>
      <c r="J9" s="7"/>
      <c r="K9" s="7"/>
      <c r="L9" s="7"/>
      <c r="M9" s="3" t="str">
        <f>IFERROR(IF(C9=ROUND(D9+SUM(F9:G9),0)," "," Стр. 03, Гр. 1 [C9]  д.б. = [Окр(D9+Сум(F9:G9),0)] {" &amp; ROUND(D9+SUM(F9:G9),0) &amp; "}.")," ") &amp; IFERROR(IF(H9=ROUND(I9+SUM(K9:L9),0)," "," Стр. 03, Гр. 6 [H9]  д.б. = [Окр(I9+Сум(K9:L9),0)] {" &amp; ROUND(I9+SUM(K9:L9),0) &amp; "}.")," ")</f>
        <v xml:space="preserve">  </v>
      </c>
    </row>
    <row r="10" spans="1:13" ht="30" customHeight="1" x14ac:dyDescent="0.25">
      <c r="A10" s="2" t="s">
        <v>40</v>
      </c>
      <c r="B10" s="1" t="s">
        <v>41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3" t="str">
        <f>IFERROR(IF(C10=ROUND(D10+SUM(F10:G10),0)," "," Стр. 04, Гр. 1 [C10]  д.б. = [Окр(D10+Сум(F10:G10),0)] {" &amp; ROUND(D10+SUM(F10:G10),0) &amp; "}.")," ") &amp; IFERROR(IF(H10=ROUND(I10+SUM(K10:L10),0)," "," Стр. 04, Гр. 6 [H10]  д.б. = [Окр(I10+Сум(K10:L10),0)] {" &amp; ROUND(I10+SUM(K10:L10),0) &amp; "}.")," ")</f>
        <v xml:space="preserve">  </v>
      </c>
    </row>
    <row r="11" spans="1:13" ht="30" customHeight="1" x14ac:dyDescent="0.25">
      <c r="A11" s="2" t="s">
        <v>42</v>
      </c>
      <c r="B11" s="1" t="s">
        <v>43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3" t="str">
        <f>IFERROR(IF(C11=ROUND(D11+SUM(F11:G11),0)," "," Стр. 05, Гр. 1 [C11]  д.б. = [Окр(D11+Сум(F11:G11),0)] {" &amp; ROUND(D11+SUM(F11:G11),0) &amp; "}.")," ") &amp; IFERROR(IF(H11=ROUND(I11+SUM(K11:L11),0)," "," Стр. 05, Гр. 6 [H11]  д.б. = [Окр(I11+Сум(K11:L11),0)] {" &amp; ROUND(I11+SUM(K11:L11),0) &amp; "}.")," ")</f>
        <v xml:space="preserve">  </v>
      </c>
    </row>
    <row r="12" spans="1:13" ht="30" customHeight="1" x14ac:dyDescent="0.25">
      <c r="A12" s="2" t="s">
        <v>44</v>
      </c>
      <c r="B12" s="1" t="s">
        <v>45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3" t="str">
        <f>IFERROR(IF(C12=ROUND(D12+SUM(F12:G12),0)," "," Стр. 06, Гр. 1 [C12]  д.б. = [Окр(D12+Сум(F12:G12),0)] {" &amp; ROUND(D12+SUM(F12:G12),0) &amp; "}.")," ") &amp; IFERROR(IF(H12=ROUND(I12+SUM(K12:L12),0)," "," Стр. 06, Гр. 6 [H12]  д.б. = [Окр(I12+Сум(K12:L12),0)] {" &amp; ROUND(I12+SUM(K12:L12),0) &amp; "}.")," ")</f>
        <v xml:space="preserve">  </v>
      </c>
    </row>
    <row r="13" spans="1:13" ht="30" customHeight="1" x14ac:dyDescent="0.25">
      <c r="A13" s="2" t="s">
        <v>46</v>
      </c>
      <c r="B13" s="1" t="s">
        <v>47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3" t="str">
        <f>IFERROR(IF(C13=ROUND(D13+SUM(F13:G13),0)," "," Стр. 07, Гр. 1 [C13]  д.б. = [Окр(D13+Сум(F13:G13),0)] {" &amp; ROUND(D13+SUM(F13:G13),0) &amp; "}.")," ") &amp; IFERROR(IF(H13=ROUND(I13+SUM(K13:L13),0)," "," Стр. 07, Гр. 6 [H13]  д.б. = [Окр(I13+Сум(K13:L13),0)] {" &amp; ROUND(I13+SUM(K13:L13),0) &amp; "}.")," ")</f>
        <v xml:space="preserve">  </v>
      </c>
    </row>
    <row r="14" spans="1:13" ht="30" customHeight="1" x14ac:dyDescent="0.25">
      <c r="A14" s="2" t="s">
        <v>48</v>
      </c>
      <c r="B14" s="1" t="s">
        <v>49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3" t="str">
        <f>IFERROR(IF(C14=ROUND(D14+SUM(F14:G14),0)," "," Стр. 08, Гр. 1 [C14]  д.б. = [Окр(D14+Сум(F14:G14),0)] {" &amp; ROUND(D14+SUM(F14:G14),0) &amp; "}.")," ") &amp; IFERROR(IF(H14=ROUND(I14+SUM(K14:L14),0)," "," Стр. 08, Гр. 6 [H14]  д.б. = [Окр(I14+Сум(K14:L14),0)] {" &amp; ROUND(I14+SUM(K14:L14),0) &amp; "}.")," ")</f>
        <v xml:space="preserve">  </v>
      </c>
    </row>
    <row r="15" spans="1:13" ht="30" customHeight="1" x14ac:dyDescent="0.25">
      <c r="A15" s="2" t="s">
        <v>50</v>
      </c>
      <c r="B15" s="1" t="s">
        <v>51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3" t="str">
        <f>IFERROR(IF(C15=ROUND(D15+SUM(F15:G15),0)," "," Стр. 09, Гр. 1 [C15]  д.б. = [Окр(D15+Сум(F15:G15),0)] {" &amp; ROUND(D15+SUM(F15:G15),0) &amp; "}.")," ") &amp; IFERROR(IF(H15=ROUND(I15+SUM(K15:L15),0)," "," Стр. 09, Гр. 6 [H15]  д.б. = [Окр(I15+Сум(K15:L15),0)] {" &amp; ROUND(I15+SUM(K15:L15),0) &amp; "}.")," ")</f>
        <v xml:space="preserve">  </v>
      </c>
    </row>
    <row r="16" spans="1:13" ht="30" customHeight="1" x14ac:dyDescent="0.25">
      <c r="A16" s="2" t="s">
        <v>52</v>
      </c>
      <c r="B16" s="1" t="s">
        <v>33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3" t="str">
        <f>IFERROR(IF(C16=ROUND(D16+SUM(F16:G16),0)," "," Стр. 10, Гр. 1 [C16]  д.б. = [Окр(D16+Сум(F16:G16),0)] {" &amp; ROUND(D16+SUM(F16:G16),0) &amp; "}.")," ") &amp; IFERROR(IF(H16=ROUND(I16+SUM(K16:L16),0)," "," Стр. 10, Гр. 6 [H16]  д.б. = [Окр(I16+Сум(K16:L16),0)] {" &amp; ROUND(I16+SUM(K16:L16),0) &amp; "}.")," ")</f>
        <v xml:space="preserve">  </v>
      </c>
    </row>
    <row r="17" spans="1:13" ht="30" customHeight="1" x14ac:dyDescent="0.25">
      <c r="A17" s="2" t="s">
        <v>53</v>
      </c>
      <c r="B17" s="1" t="s">
        <v>54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3" t="str">
        <f>IFERROR(IF(C17=ROUND(D17+SUM(F17:G17),0)," "," Стр. 11, Гр. 1 [C17]  д.б. = [Окр(D17+Сум(F17:G17),0)] {" &amp; ROUND(D17+SUM(F17:G17),0) &amp; "}.")," ") &amp; IFERROR(IF(H17=ROUND(I17+SUM(K17:L17),0)," "," Стр. 11, Гр. 6 [H17]  д.б. = [Окр(I17+Сум(K17:L17),0)] {" &amp; ROUND(I17+SUM(K17:L17),0) &amp; "}.")," ")</f>
        <v xml:space="preserve">  </v>
      </c>
    </row>
    <row r="18" spans="1:13" ht="30" customHeight="1" x14ac:dyDescent="0.25">
      <c r="A18" s="2" t="s">
        <v>55</v>
      </c>
      <c r="B18" s="1" t="s">
        <v>56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3" t="str">
        <f>IFERROR(IF(C18=ROUND(D18+SUM(F18:G18),0)," "," Стр. 12, Гр. 1 [C18]  д.б. = [Окр(D18+Сум(F18:G18),0)] {" &amp; ROUND(D18+SUM(F18:G18),0) &amp; "}.")," ") &amp; IFERROR(IF(H18=ROUND(I18+SUM(K18:L18),0)," "," Стр. 12, Гр. 6 [H18]  д.б. = [Окр(I18+Сум(K18:L18),0)] {" &amp; ROUND(I18+SUM(K18:L18),0) &amp; "}.")," ")</f>
        <v xml:space="preserve">  </v>
      </c>
    </row>
    <row r="19" spans="1:13" ht="30" customHeight="1" x14ac:dyDescent="0.25">
      <c r="A19" s="2" t="s">
        <v>57</v>
      </c>
      <c r="B19" s="1" t="s">
        <v>58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3" t="str">
        <f>IFERROR(IF(C19=ROUND(D19+SUM(F19:G19),0)," "," Стр. 13, Гр. 1 [C19]  д.б. = [Окр(D19+Сум(F19:G19),0)] {" &amp; ROUND(D19+SUM(F19:G19),0) &amp; "}.")," ") &amp; IFERROR(IF(H19=ROUND(I19+SUM(K19:L19),0)," "," Стр. 13, Гр. 6 [H19]  д.б. = [Окр(I19+Сум(K19:L19),0)] {" &amp; ROUND(I19+SUM(K19:L19),0) &amp; "}.")," ")</f>
        <v xml:space="preserve">  </v>
      </c>
    </row>
    <row r="20" spans="1:13" ht="30" customHeight="1" x14ac:dyDescent="0.25">
      <c r="A20" s="2" t="s">
        <v>59</v>
      </c>
      <c r="B20" s="1" t="s">
        <v>60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3" t="str">
        <f>IFERROR(IF(C20=ROUND(SUM(C21:C258),0)," "," Стр. 14, Гр. 1 [C20]  д.б. = [Окр(Сум(C21:C258),0)] {" &amp; ROUND(SUM(C21:C258),0) &amp; "}.")," ") &amp; IFERROR(IF(C20=ROUND(D20+SUM(F20:G20),0)," "," Стр. 14, Гр. 1 [C20]  д.б. = [Окр(D20+Сум(F20:G20),0)] {" &amp; ROUND(D20+SUM(F20:G20),0) &amp; "}.")," ") &amp; IFERROR(IF(D20=ROUND(SUM(D21:D258),0)," "," Стр. 14, Гр. 2 [D20]  д.б. = [Окр(Сум(D21:D258),0)] {" &amp; ROUND(SUM(D21:D258),0) &amp; "}.")," ") &amp; IFERROR(IF(E20=ROUND(SUM(E21:E258),0)," "," Стр. 14, Гр. 3 [E20]  д.б. = [Окр(Сум(E21:E258),0)] {" &amp; ROUND(SUM(E21:E258),0) &amp; "}.")," ") &amp; IFERROR(IF(F20=ROUND(SUM(F21:F258),0)," "," Стр. 14, Гр. 4 [F20]  д.б. = [Окр(Сум(F21:F258),0)] {" &amp; ROUND(SUM(F21:F258),0) &amp; "}.")," ") &amp; IFERROR(IF(G20=ROUND(SUM(G21:G258),0)," "," Стр. 14, Гр. 5 [G20]  д.б. = [Окр(Сум(G21:G258),0)] {" &amp; ROUND(SUM(G21:G258),0) &amp; "}.")," ") &amp; IFERROR(IF(H20=ROUND(SUM(H21:H258),0)," "," Стр. 14, Гр. 6 [H20]  д.б. = [Окр(Сум(H21:H258),0)] {" &amp; ROUND(SUM(H21:H258),0) &amp; "}.")," ") &amp; IFERROR(IF(H20=ROUND(I20+SUM(K20:L20),0)," "," Стр. 14, Гр. 6 [H20]  д.б. = [Окр(I20+Сум(K20:L20),0)] {" &amp; ROUND(I20+SUM(K20:L20),0) &amp; "}.")," ") &amp; IFERROR(IF(I20=ROUND(SUM(I21:I258),0)," "," Стр. 14, Гр. 7 [I20]  д.б. = [Окр(Сум(I21:I258),0)] {" &amp; ROUND(SUM(I21:I258),0) &amp; "}.")," ") &amp; IFERROR(IF(J20=ROUND(SUM(J21:J258),0)," "," Стр. 14, Гр. 8 [J20]  д.б. = [Окр(Сум(J21:J258),0)] {" &amp; ROUND(SUM(J21:J258),0) &amp; "}.")," ") &amp; IFERROR(IF(K20=ROUND(SUM(K21:K258),0)," "," Стр. 14, Гр. 9 [K20]  д.б. = [Окр(Сум(K21:K258),0)] {" &amp; ROUND(SUM(K21:K258),0) &amp; "}.")," ") &amp; IFERROR(IF(L20=ROUND(SUM(L21:L258),0)," "," Стр. 14, Гр. 10 [L20]  д.б. = [Окр(Сум(L21:L258),0)] {" &amp; ROUND(SUM(L21:L258),0) &amp; "}.")," ")</f>
        <v xml:space="preserve">            </v>
      </c>
    </row>
    <row r="21" spans="1:13" ht="30" customHeight="1" x14ac:dyDescent="0.25">
      <c r="A21" s="2" t="s">
        <v>61</v>
      </c>
      <c r="B21" s="1" t="s">
        <v>62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3" t="str">
        <f>IFERROR(IF(C21=ROUND(D21+SUM(F21:G21),0)," "," Стр. 15, Гр. 1 [C21]  д.б. = [Окр(D21+Сум(F21:G21),0)] {" &amp; ROUND(D21+SUM(F21:G21),0) &amp; "}.")," ") &amp; IFERROR(IF(H21=ROUND(I21+SUM(K21:L21),0)," "," Стр. 15, Гр. 6 [H21]  д.б. = [Окр(I21+Сум(K21:L21),0)] {" &amp; ROUND(I21+SUM(K21:L21),0) &amp; "}.")," ")</f>
        <v xml:space="preserve">  </v>
      </c>
    </row>
    <row r="22" spans="1:13" ht="30" customHeight="1" x14ac:dyDescent="0.25">
      <c r="A22" s="2" t="s">
        <v>63</v>
      </c>
      <c r="B22" s="1" t="s">
        <v>64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3" t="str">
        <f>IFERROR(IF(C22=ROUND(D22+SUM(F22:G22),0)," "," Стр. 16, Гр. 1 [C22]  д.б. = [Окр(D22+Сум(F22:G22),0)] {" &amp; ROUND(D22+SUM(F22:G22),0) &amp; "}.")," ") &amp; IFERROR(IF(H22=ROUND(I22+SUM(K22:L22),0)," "," Стр. 16, Гр. 6 [H22]  д.б. = [Окр(I22+Сум(K22:L22),0)] {" &amp; ROUND(I22+SUM(K22:L22),0) &amp; "}.")," ")</f>
        <v xml:space="preserve">  </v>
      </c>
    </row>
    <row r="23" spans="1:13" ht="30" customHeight="1" x14ac:dyDescent="0.25">
      <c r="A23" s="2" t="s">
        <v>65</v>
      </c>
      <c r="B23" s="1" t="s">
        <v>66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3" t="str">
        <f>IFERROR(IF(C23=ROUND(D23+SUM(F23:G23),0)," "," Стр. 17, Гр. 1 [C23]  д.б. = [Окр(D23+Сум(F23:G23),0)] {" &amp; ROUND(D23+SUM(F23:G23),0) &amp; "}.")," ") &amp; IFERROR(IF(H23=ROUND(I23+SUM(K23:L23),0)," "," Стр. 17, Гр. 6 [H23]  д.б. = [Окр(I23+Сум(K23:L23),0)] {" &amp; ROUND(I23+SUM(K23:L23),0) &amp; "}.")," ")</f>
        <v xml:space="preserve">  </v>
      </c>
    </row>
    <row r="24" spans="1:13" ht="30" customHeight="1" x14ac:dyDescent="0.25">
      <c r="A24" s="2" t="s">
        <v>67</v>
      </c>
      <c r="B24" s="1" t="s">
        <v>68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3" t="str">
        <f>IFERROR(IF(C24=ROUND(D24+SUM(F24:G24),0)," "," Стр. 18, Гр. 1 [C24]  д.б. = [Окр(D24+Сум(F24:G24),0)] {" &amp; ROUND(D24+SUM(F24:G24),0) &amp; "}.")," ") &amp; IFERROR(IF(H24=ROUND(I24+SUM(K24:L24),0)," "," Стр. 18, Гр. 6 [H24]  д.б. = [Окр(I24+Сум(K24:L24),0)] {" &amp; ROUND(I24+SUM(K24:L24),0) &amp; "}.")," ")</f>
        <v xml:space="preserve">  </v>
      </c>
    </row>
    <row r="25" spans="1:13" ht="30" customHeight="1" x14ac:dyDescent="0.25">
      <c r="A25" s="2" t="s">
        <v>69</v>
      </c>
      <c r="B25" s="1" t="s">
        <v>70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3" t="str">
        <f>IFERROR(IF(C25=ROUND(D25+SUM(F25:G25),0)," "," Стр. 19, Гр. 1 [C25]  д.б. = [Окр(D25+Сум(F25:G25),0)] {" &amp; ROUND(D25+SUM(F25:G25),0) &amp; "}.")," ") &amp; IFERROR(IF(H25=ROUND(I25+SUM(K25:L25),0)," "," Стр. 19, Гр. 6 [H25]  д.б. = [Окр(I25+Сум(K25:L25),0)] {" &amp; ROUND(I25+SUM(K25:L25),0) &amp; "}.")," ")</f>
        <v xml:space="preserve">  </v>
      </c>
    </row>
    <row r="26" spans="1:13" ht="30" customHeight="1" x14ac:dyDescent="0.25">
      <c r="A26" s="2" t="s">
        <v>71</v>
      </c>
      <c r="B26" s="1" t="s">
        <v>72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3" t="str">
        <f>IFERROR(IF(C26=ROUND(D26+SUM(F26:G26),0)," "," Стр. 20, Гр. 1 [C26]  д.б. = [Окр(D26+Сум(F26:G26),0)] {" &amp; ROUND(D26+SUM(F26:G26),0) &amp; "}.")," ") &amp; IFERROR(IF(H26=ROUND(I26+SUM(K26:L26),0)," "," Стр. 20, Гр. 6 [H26]  д.б. = [Окр(I26+Сум(K26:L26),0)] {" &amp; ROUND(I26+SUM(K26:L26),0) &amp; "}.")," ")</f>
        <v xml:space="preserve">  </v>
      </c>
    </row>
    <row r="27" spans="1:13" ht="30" customHeight="1" x14ac:dyDescent="0.25">
      <c r="A27" s="2" t="s">
        <v>73</v>
      </c>
      <c r="B27" s="1" t="s">
        <v>74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3" t="str">
        <f>IFERROR(IF(C27=ROUND(D27+SUM(F27:G27),0)," "," Стр. 21, Гр. 1 [C27]  д.б. = [Окр(D27+Сум(F27:G27),0)] {" &amp; ROUND(D27+SUM(F27:G27),0) &amp; "}.")," ") &amp; IFERROR(IF(H27=ROUND(I27+SUM(K27:L27),0)," "," Стр. 21, Гр. 6 [H27]  д.б. = [Окр(I27+Сум(K27:L27),0)] {" &amp; ROUND(I27+SUM(K27:L27),0) &amp; "}.")," ")</f>
        <v xml:space="preserve">  </v>
      </c>
    </row>
    <row r="28" spans="1:13" ht="30" customHeight="1" x14ac:dyDescent="0.25">
      <c r="A28" s="2" t="s">
        <v>75</v>
      </c>
      <c r="B28" s="1" t="s">
        <v>76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3" t="str">
        <f>IFERROR(IF(C28=ROUND(D28+SUM(F28:G28),0)," "," Стр. 22, Гр. 1 [C28]  д.б. = [Окр(D28+Сум(F28:G28),0)] {" &amp; ROUND(D28+SUM(F28:G28),0) &amp; "}.")," ") &amp; IFERROR(IF(H28=ROUND(I28+SUM(K28:L28),0)," "," Стр. 22, Гр. 6 [H28]  д.б. = [Окр(I28+Сум(K28:L28),0)] {" &amp; ROUND(I28+SUM(K28:L28),0) &amp; "}.")," ")</f>
        <v xml:space="preserve">  </v>
      </c>
    </row>
    <row r="29" spans="1:13" ht="30" customHeight="1" x14ac:dyDescent="0.25">
      <c r="A29" s="2" t="s">
        <v>77</v>
      </c>
      <c r="B29" s="1" t="s">
        <v>78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3" t="str">
        <f>IFERROR(IF(C29=ROUND(D29+SUM(F29:G29),0)," "," Стр. 23, Гр. 1 [C29]  д.б. = [Окр(D29+Сум(F29:G29),0)] {" &amp; ROUND(D29+SUM(F29:G29),0) &amp; "}.")," ") &amp; IFERROR(IF(H29=ROUND(I29+SUM(K29:L29),0)," "," Стр. 23, Гр. 6 [H29]  д.б. = [Окр(I29+Сум(K29:L29),0)] {" &amp; ROUND(I29+SUM(K29:L29),0) &amp; "}.")," ")</f>
        <v xml:space="preserve">  </v>
      </c>
    </row>
    <row r="30" spans="1:13" ht="30" customHeight="1" x14ac:dyDescent="0.25">
      <c r="A30" s="2" t="s">
        <v>79</v>
      </c>
      <c r="B30" s="1" t="s">
        <v>80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3" t="str">
        <f>IFERROR(IF(C30=ROUND(D30+SUM(F30:G30),0)," "," Стр. 24, Гр. 1 [C30]  д.б. = [Окр(D30+Сум(F30:G30),0)] {" &amp; ROUND(D30+SUM(F30:G30),0) &amp; "}.")," ") &amp; IFERROR(IF(H30=ROUND(I30+SUM(K30:L30),0)," "," Стр. 24, Гр. 6 [H30]  д.б. = [Окр(I30+Сум(K30:L30),0)] {" &amp; ROUND(I30+SUM(K30:L30),0) &amp; "}.")," ")</f>
        <v xml:space="preserve">  </v>
      </c>
    </row>
    <row r="31" spans="1:13" ht="30" customHeight="1" x14ac:dyDescent="0.25">
      <c r="A31" s="2" t="s">
        <v>81</v>
      </c>
      <c r="B31" s="1" t="s">
        <v>82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3" t="str">
        <f>IFERROR(IF(C31=ROUND(D31+SUM(F31:G31),0)," "," Стр. 25, Гр. 1 [C31]  д.б. = [Окр(D31+Сум(F31:G31),0)] {" &amp; ROUND(D31+SUM(F31:G31),0) &amp; "}.")," ") &amp; IFERROR(IF(H31=ROUND(I31+SUM(K31:L31),0)," "," Стр. 25, Гр. 6 [H31]  д.б. = [Окр(I31+Сум(K31:L31),0)] {" &amp; ROUND(I31+SUM(K31:L31),0) &amp; "}.")," ")</f>
        <v xml:space="preserve">  </v>
      </c>
    </row>
    <row r="32" spans="1:13" ht="30" customHeight="1" x14ac:dyDescent="0.25">
      <c r="A32" s="2" t="s">
        <v>83</v>
      </c>
      <c r="B32" s="1" t="s">
        <v>84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3" t="str">
        <f>IFERROR(IF(C32=ROUND(D32+SUM(F32:G32),0)," "," Стр. 26, Гр. 1 [C32]  д.б. = [Окр(D32+Сум(F32:G32),0)] {" &amp; ROUND(D32+SUM(F32:G32),0) &amp; "}.")," ") &amp; IFERROR(IF(H32=ROUND(I32+SUM(K32:L32),0)," "," Стр. 26, Гр. 6 [H32]  д.б. = [Окр(I32+Сум(K32:L32),0)] {" &amp; ROUND(I32+SUM(K32:L32),0) &amp; "}.")," ")</f>
        <v xml:space="preserve">  </v>
      </c>
    </row>
    <row r="33" spans="1:13" ht="30" customHeight="1" x14ac:dyDescent="0.25">
      <c r="A33" s="2" t="s">
        <v>85</v>
      </c>
      <c r="B33" s="1" t="s">
        <v>86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3" t="str">
        <f>IFERROR(IF(C33=ROUND(D33+SUM(F33:G33),0)," "," Стр. 27, Гр. 1 [C33]  д.б. = [Окр(D33+Сум(F33:G33),0)] {" &amp; ROUND(D33+SUM(F33:G33),0) &amp; "}.")," ") &amp; IFERROR(IF(H33=ROUND(I33+SUM(K33:L33),0)," "," Стр. 27, Гр. 6 [H33]  д.б. = [Окр(I33+Сум(K33:L33),0)] {" &amp; ROUND(I33+SUM(K33:L33),0) &amp; "}.")," ")</f>
        <v xml:space="preserve">  </v>
      </c>
    </row>
    <row r="34" spans="1:13" ht="30" customHeight="1" x14ac:dyDescent="0.25">
      <c r="A34" s="2" t="s">
        <v>87</v>
      </c>
      <c r="B34" s="1" t="s">
        <v>88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3" t="str">
        <f>IFERROR(IF(C34=ROUND(D34+SUM(F34:G34),0)," "," Стр. 28, Гр. 1 [C34]  д.б. = [Окр(D34+Сум(F34:G34),0)] {" &amp; ROUND(D34+SUM(F34:G34),0) &amp; "}.")," ") &amp; IFERROR(IF(H34=ROUND(I34+SUM(K34:L34),0)," "," Стр. 28, Гр. 6 [H34]  д.б. = [Окр(I34+Сум(K34:L34),0)] {" &amp; ROUND(I34+SUM(K34:L34),0) &amp; "}.")," ")</f>
        <v xml:space="preserve">  </v>
      </c>
    </row>
    <row r="35" spans="1:13" ht="30" customHeight="1" x14ac:dyDescent="0.25">
      <c r="A35" s="2" t="s">
        <v>89</v>
      </c>
      <c r="B35" s="1" t="s">
        <v>90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3" t="str">
        <f>IFERROR(IF(C35=ROUND(D35+SUM(F35:G35),0)," "," Стр. 29, Гр. 1 [C35]  д.б. = [Окр(D35+Сум(F35:G35),0)] {" &amp; ROUND(D35+SUM(F35:G35),0) &amp; "}.")," ") &amp; IFERROR(IF(H35=ROUND(I35+SUM(K35:L35),0)," "," Стр. 29, Гр. 6 [H35]  д.б. = [Окр(I35+Сум(K35:L35),0)] {" &amp; ROUND(I35+SUM(K35:L35),0) &amp; "}.")," ")</f>
        <v xml:space="preserve">  </v>
      </c>
    </row>
    <row r="36" spans="1:13" ht="30" customHeight="1" x14ac:dyDescent="0.25">
      <c r="A36" s="2" t="s">
        <v>91</v>
      </c>
      <c r="B36" s="1" t="s">
        <v>92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3" t="str">
        <f>IFERROR(IF(C36=ROUND(D36+SUM(F36:G36),0)," "," Стр. 30, Гр. 1 [C36]  д.б. = [Окр(D36+Сум(F36:G36),0)] {" &amp; ROUND(D36+SUM(F36:G36),0) &amp; "}.")," ") &amp; IFERROR(IF(H36=ROUND(I36+SUM(K36:L36),0)," "," Стр. 30, Гр. 6 [H36]  д.б. = [Окр(I36+Сум(K36:L36),0)] {" &amp; ROUND(I36+SUM(K36:L36),0) &amp; "}.")," ")</f>
        <v xml:space="preserve">  </v>
      </c>
    </row>
    <row r="37" spans="1:13" ht="30" customHeight="1" x14ac:dyDescent="0.25">
      <c r="A37" s="2" t="s">
        <v>93</v>
      </c>
      <c r="B37" s="1" t="s">
        <v>94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3" t="str">
        <f>IFERROR(IF(C37=ROUND(D37+SUM(F37:G37),0)," "," Стр. 31, Гр. 1 [C37]  д.б. = [Окр(D37+Сум(F37:G37),0)] {" &amp; ROUND(D37+SUM(F37:G37),0) &amp; "}.")," ") &amp; IFERROR(IF(H37=ROUND(I37+SUM(K37:L37),0)," "," Стр. 31, Гр. 6 [H37]  д.б. = [Окр(I37+Сум(K37:L37),0)] {" &amp; ROUND(I37+SUM(K37:L37),0) &amp; "}.")," ")</f>
        <v xml:space="preserve">  </v>
      </c>
    </row>
    <row r="38" spans="1:13" ht="30" customHeight="1" x14ac:dyDescent="0.25">
      <c r="A38" s="2" t="s">
        <v>95</v>
      </c>
      <c r="B38" s="1" t="s">
        <v>96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3" t="str">
        <f>IFERROR(IF(C38=ROUND(D38+SUM(F38:G38),0)," "," Стр. 32, Гр. 1 [C38]  д.б. = [Окр(D38+Сум(F38:G38),0)] {" &amp; ROUND(D38+SUM(F38:G38),0) &amp; "}.")," ") &amp; IFERROR(IF(H38=ROUND(I38+SUM(K38:L38),0)," "," Стр. 32, Гр. 6 [H38]  д.б. = [Окр(I38+Сум(K38:L38),0)] {" &amp; ROUND(I38+SUM(K38:L38),0) &amp; "}.")," ")</f>
        <v xml:space="preserve">  </v>
      </c>
    </row>
    <row r="39" spans="1:13" ht="30" customHeight="1" x14ac:dyDescent="0.25">
      <c r="A39" s="2" t="s">
        <v>97</v>
      </c>
      <c r="B39" s="1" t="s">
        <v>98</v>
      </c>
      <c r="C39" s="7"/>
      <c r="D39" s="7"/>
      <c r="E39" s="7"/>
      <c r="F39" s="7"/>
      <c r="G39" s="7"/>
      <c r="H39" s="7"/>
      <c r="I39" s="7"/>
      <c r="J39" s="7"/>
      <c r="K39" s="7"/>
      <c r="L39" s="7"/>
      <c r="M39" s="3" t="str">
        <f>IFERROR(IF(C39=ROUND(D39+SUM(F39:G39),0)," "," Стр. 33, Гр. 1 [C39]  д.б. = [Окр(D39+Сум(F39:G39),0)] {" &amp; ROUND(D39+SUM(F39:G39),0) &amp; "}.")," ") &amp; IFERROR(IF(H39=ROUND(I39+SUM(K39:L39),0)," "," Стр. 33, Гр. 6 [H39]  д.б. = [Окр(I39+Сум(K39:L39),0)] {" &amp; ROUND(I39+SUM(K39:L39),0) &amp; "}.")," ")</f>
        <v xml:space="preserve">  </v>
      </c>
    </row>
    <row r="40" spans="1:13" ht="30" customHeight="1" x14ac:dyDescent="0.25">
      <c r="A40" s="2" t="s">
        <v>99</v>
      </c>
      <c r="B40" s="1" t="s">
        <v>100</v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3" t="str">
        <f>IFERROR(IF(C40=ROUND(D40+SUM(F40:G40),0)," "," Стр. 34, Гр. 1 [C40]  д.б. = [Окр(D40+Сум(F40:G40),0)] {" &amp; ROUND(D40+SUM(F40:G40),0) &amp; "}.")," ") &amp; IFERROR(IF(H40=ROUND(I40+SUM(K40:L40),0)," "," Стр. 34, Гр. 6 [H40]  д.б. = [Окр(I40+Сум(K40:L40),0)] {" &amp; ROUND(I40+SUM(K40:L40),0) &amp; "}.")," ")</f>
        <v xml:space="preserve">  </v>
      </c>
    </row>
    <row r="41" spans="1:13" ht="30" customHeight="1" x14ac:dyDescent="0.25">
      <c r="A41" s="2" t="s">
        <v>101</v>
      </c>
      <c r="B41" s="1" t="s">
        <v>102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3" t="str">
        <f>IFERROR(IF(C41=ROUND(D41+SUM(F41:G41),0)," "," Стр. 35, Гр. 1 [C41]  д.б. = [Окр(D41+Сум(F41:G41),0)] {" &amp; ROUND(D41+SUM(F41:G41),0) &amp; "}.")," ") &amp; IFERROR(IF(H41=ROUND(I41+SUM(K41:L41),0)," "," Стр. 35, Гр. 6 [H41]  д.б. = [Окр(I41+Сум(K41:L41),0)] {" &amp; ROUND(I41+SUM(K41:L41),0) &amp; "}.")," ")</f>
        <v xml:space="preserve">  </v>
      </c>
    </row>
    <row r="42" spans="1:13" ht="30" customHeight="1" x14ac:dyDescent="0.25">
      <c r="A42" s="2" t="s">
        <v>103</v>
      </c>
      <c r="B42" s="1" t="s">
        <v>104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3" t="str">
        <f>IFERROR(IF(C42=ROUND(D42+SUM(F42:G42),0)," "," Стр. 36, Гр. 1 [C42]  д.б. = [Окр(D42+Сум(F42:G42),0)] {" &amp; ROUND(D42+SUM(F42:G42),0) &amp; "}.")," ") &amp; IFERROR(IF(H42=ROUND(I42+SUM(K42:L42),0)," "," Стр. 36, Гр. 6 [H42]  д.б. = [Окр(I42+Сум(K42:L42),0)] {" &amp; ROUND(I42+SUM(K42:L42),0) &amp; "}.")," ")</f>
        <v xml:space="preserve">  </v>
      </c>
    </row>
    <row r="43" spans="1:13" ht="30" customHeight="1" x14ac:dyDescent="0.25">
      <c r="A43" s="2" t="s">
        <v>105</v>
      </c>
      <c r="B43" s="1" t="s">
        <v>106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3" t="str">
        <f>IFERROR(IF(C43=ROUND(D43+SUM(F43:G43),0)," "," Стр. 37, Гр. 1 [C43]  д.б. = [Окр(D43+Сум(F43:G43),0)] {" &amp; ROUND(D43+SUM(F43:G43),0) &amp; "}.")," ") &amp; IFERROR(IF(H43=ROUND(I43+SUM(K43:L43),0)," "," Стр. 37, Гр. 6 [H43]  д.б. = [Окр(I43+Сум(K43:L43),0)] {" &amp; ROUND(I43+SUM(K43:L43),0) &amp; "}.")," ")</f>
        <v xml:space="preserve">  </v>
      </c>
    </row>
    <row r="44" spans="1:13" ht="30" customHeight="1" x14ac:dyDescent="0.25">
      <c r="A44" s="2" t="s">
        <v>107</v>
      </c>
      <c r="B44" s="1" t="s">
        <v>108</v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3" t="str">
        <f>IFERROR(IF(C44=ROUND(D44+SUM(F44:G44),0)," "," Стр. 38, Гр. 1 [C44]  д.б. = [Окр(D44+Сум(F44:G44),0)] {" &amp; ROUND(D44+SUM(F44:G44),0) &amp; "}.")," ") &amp; IFERROR(IF(H44=ROUND(I44+SUM(K44:L44),0)," "," Стр. 38, Гр. 6 [H44]  д.б. = [Окр(I44+Сум(K44:L44),0)] {" &amp; ROUND(I44+SUM(K44:L44),0) &amp; "}.")," ")</f>
        <v xml:space="preserve">  </v>
      </c>
    </row>
    <row r="45" spans="1:13" ht="30" customHeight="1" x14ac:dyDescent="0.25">
      <c r="A45" s="2" t="s">
        <v>109</v>
      </c>
      <c r="B45" s="1" t="s">
        <v>110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3" t="str">
        <f>IFERROR(IF(C45=ROUND(D45+SUM(F45:G45),0)," "," Стр. 39, Гр. 1 [C45]  д.б. = [Окр(D45+Сум(F45:G45),0)] {" &amp; ROUND(D45+SUM(F45:G45),0) &amp; "}.")," ") &amp; IFERROR(IF(H45=ROUND(I45+SUM(K45:L45),0)," "," Стр. 39, Гр. 6 [H45]  д.б. = [Окр(I45+Сум(K45:L45),0)] {" &amp; ROUND(I45+SUM(K45:L45),0) &amp; "}.")," ")</f>
        <v xml:space="preserve">  </v>
      </c>
    </row>
    <row r="46" spans="1:13" ht="30" customHeight="1" x14ac:dyDescent="0.25">
      <c r="A46" s="2" t="s">
        <v>111</v>
      </c>
      <c r="B46" s="1" t="s">
        <v>112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3" t="str">
        <f>IFERROR(IF(C46=ROUND(D46+SUM(F46:G46),0)," "," Стр. 40, Гр. 1 [C46]  д.б. = [Окр(D46+Сум(F46:G46),0)] {" &amp; ROUND(D46+SUM(F46:G46),0) &amp; "}.")," ") &amp; IFERROR(IF(H46=ROUND(I46+SUM(K46:L46),0)," "," Стр. 40, Гр. 6 [H46]  д.б. = [Окр(I46+Сум(K46:L46),0)] {" &amp; ROUND(I46+SUM(K46:L46),0) &amp; "}.")," ")</f>
        <v xml:space="preserve">  </v>
      </c>
    </row>
    <row r="47" spans="1:13" ht="30" customHeight="1" x14ac:dyDescent="0.25">
      <c r="A47" s="2" t="s">
        <v>113</v>
      </c>
      <c r="B47" s="1" t="s">
        <v>114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3" t="str">
        <f>IFERROR(IF(C47=ROUND(D47+SUM(F47:G47),0)," "," Стр. 41, Гр. 1 [C47]  д.б. = [Окр(D47+Сум(F47:G47),0)] {" &amp; ROUND(D47+SUM(F47:G47),0) &amp; "}.")," ") &amp; IFERROR(IF(H47=ROUND(I47+SUM(K47:L47),0)," "," Стр. 41, Гр. 6 [H47]  д.б. = [Окр(I47+Сум(K47:L47),0)] {" &amp; ROUND(I47+SUM(K47:L47),0) &amp; "}.")," ")</f>
        <v xml:space="preserve">  </v>
      </c>
    </row>
    <row r="48" spans="1:13" ht="30" customHeight="1" x14ac:dyDescent="0.25">
      <c r="A48" s="2" t="s">
        <v>115</v>
      </c>
      <c r="B48" s="1" t="s">
        <v>116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3" t="str">
        <f>IFERROR(IF(C48=ROUND(D48+SUM(F48:G48),0)," "," Стр. 42, Гр. 1 [C48]  д.б. = [Окр(D48+Сум(F48:G48),0)] {" &amp; ROUND(D48+SUM(F48:G48),0) &amp; "}.")," ") &amp; IFERROR(IF(H48=ROUND(I48+SUM(K48:L48),0)," "," Стр. 42, Гр. 6 [H48]  д.б. = [Окр(I48+Сум(K48:L48),0)] {" &amp; ROUND(I48+SUM(K48:L48),0) &amp; "}.")," ")</f>
        <v xml:space="preserve">  </v>
      </c>
    </row>
    <row r="49" spans="1:13" ht="30" customHeight="1" x14ac:dyDescent="0.25">
      <c r="A49" s="2" t="s">
        <v>117</v>
      </c>
      <c r="B49" s="1" t="s">
        <v>118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3" t="str">
        <f>IFERROR(IF(C49=ROUND(D49+SUM(F49:G49),0)," "," Стр. 43, Гр. 1 [C49]  д.б. = [Окр(D49+Сум(F49:G49),0)] {" &amp; ROUND(D49+SUM(F49:G49),0) &amp; "}.")," ") &amp; IFERROR(IF(H49=ROUND(I49+SUM(K49:L49),0)," "," Стр. 43, Гр. 6 [H49]  д.б. = [Окр(I49+Сум(K49:L49),0)] {" &amp; ROUND(I49+SUM(K49:L49),0) &amp; "}.")," ")</f>
        <v xml:space="preserve">  </v>
      </c>
    </row>
    <row r="50" spans="1:13" ht="30" customHeight="1" x14ac:dyDescent="0.25">
      <c r="A50" s="2" t="s">
        <v>119</v>
      </c>
      <c r="B50" s="1" t="s">
        <v>120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3" t="str">
        <f>IFERROR(IF(C50=ROUND(D50+SUM(F50:G50),0)," "," Стр. 44, Гр. 1 [C50]  д.б. = [Окр(D50+Сум(F50:G50),0)] {" &amp; ROUND(D50+SUM(F50:G50),0) &amp; "}.")," ") &amp; IFERROR(IF(H50=ROUND(I50+SUM(K50:L50),0)," "," Стр. 44, Гр. 6 [H50]  д.б. = [Окр(I50+Сум(K50:L50),0)] {" &amp; ROUND(I50+SUM(K50:L50),0) &amp; "}.")," ")</f>
        <v xml:space="preserve">  </v>
      </c>
    </row>
    <row r="51" spans="1:13" ht="30" customHeight="1" x14ac:dyDescent="0.25">
      <c r="A51" s="2" t="s">
        <v>121</v>
      </c>
      <c r="B51" s="1" t="s">
        <v>122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3" t="str">
        <f>IFERROR(IF(C51=ROUND(D51+SUM(F51:G51),0)," "," Стр. 45, Гр. 1 [C51]  д.б. = [Окр(D51+Сум(F51:G51),0)] {" &amp; ROUND(D51+SUM(F51:G51),0) &amp; "}.")," ") &amp; IFERROR(IF(H51=ROUND(I51+SUM(K51:L51),0)," "," Стр. 45, Гр. 6 [H51]  д.б. = [Окр(I51+Сум(K51:L51),0)] {" &amp; ROUND(I51+SUM(K51:L51),0) &amp; "}.")," ")</f>
        <v xml:space="preserve">  </v>
      </c>
    </row>
    <row r="52" spans="1:13" ht="30" customHeight="1" x14ac:dyDescent="0.25">
      <c r="A52" s="2" t="s">
        <v>123</v>
      </c>
      <c r="B52" s="1" t="s">
        <v>124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3" t="str">
        <f>IFERROR(IF(C52=ROUND(D52+SUM(F52:G52),0)," "," Стр. 46, Гр. 1 [C52]  д.б. = [Окр(D52+Сум(F52:G52),0)] {" &amp; ROUND(D52+SUM(F52:G52),0) &amp; "}.")," ") &amp; IFERROR(IF(H52=ROUND(I52+SUM(K52:L52),0)," "," Стр. 46, Гр. 6 [H52]  д.б. = [Окр(I52+Сум(K52:L52),0)] {" &amp; ROUND(I52+SUM(K52:L52),0) &amp; "}.")," ")</f>
        <v xml:space="preserve">  </v>
      </c>
    </row>
    <row r="53" spans="1:13" ht="30" customHeight="1" x14ac:dyDescent="0.25">
      <c r="A53" s="2" t="s">
        <v>125</v>
      </c>
      <c r="B53" s="1" t="s">
        <v>126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3" t="str">
        <f>IFERROR(IF(C53=ROUND(D53+SUM(F53:G53),0)," "," Стр. 47, Гр. 1 [C53]  д.б. = [Окр(D53+Сум(F53:G53),0)] {" &amp; ROUND(D53+SUM(F53:G53),0) &amp; "}.")," ") &amp; IFERROR(IF(H53=ROUND(I53+SUM(K53:L53),0)," "," Стр. 47, Гр. 6 [H53]  д.б. = [Окр(I53+Сум(K53:L53),0)] {" &amp; ROUND(I53+SUM(K53:L53),0) &amp; "}.")," ")</f>
        <v xml:space="preserve">  </v>
      </c>
    </row>
    <row r="54" spans="1:13" ht="30" customHeight="1" x14ac:dyDescent="0.25">
      <c r="A54" s="2" t="s">
        <v>127</v>
      </c>
      <c r="B54" s="1" t="s">
        <v>128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3" t="str">
        <f>IFERROR(IF(C54=ROUND(D54+SUM(F54:G54),0)," "," Стр. 48, Гр. 1 [C54]  д.б. = [Окр(D54+Сум(F54:G54),0)] {" &amp; ROUND(D54+SUM(F54:G54),0) &amp; "}.")," ") &amp; IFERROR(IF(H54=ROUND(I54+SUM(K54:L54),0)," "," Стр. 48, Гр. 6 [H54]  д.б. = [Окр(I54+Сум(K54:L54),0)] {" &amp; ROUND(I54+SUM(K54:L54),0) &amp; "}.")," ")</f>
        <v xml:space="preserve">  </v>
      </c>
    </row>
    <row r="55" spans="1:13" ht="30" customHeight="1" x14ac:dyDescent="0.25">
      <c r="A55" s="2" t="s">
        <v>129</v>
      </c>
      <c r="B55" s="1" t="s">
        <v>130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3" t="str">
        <f>IFERROR(IF(C55=ROUND(D55+SUM(F55:G55),0)," "," Стр. 49, Гр. 1 [C55]  д.б. = [Окр(D55+Сум(F55:G55),0)] {" &amp; ROUND(D55+SUM(F55:G55),0) &amp; "}.")," ") &amp; IFERROR(IF(H55=ROUND(I55+SUM(K55:L55),0)," "," Стр. 49, Гр. 6 [H55]  д.б. = [Окр(I55+Сум(K55:L55),0)] {" &amp; ROUND(I55+SUM(K55:L55),0) &amp; "}.")," ")</f>
        <v xml:space="preserve">  </v>
      </c>
    </row>
    <row r="56" spans="1:13" ht="30" customHeight="1" x14ac:dyDescent="0.25">
      <c r="A56" s="2" t="s">
        <v>131</v>
      </c>
      <c r="B56" s="1" t="s">
        <v>132</v>
      </c>
      <c r="C56" s="7"/>
      <c r="D56" s="7"/>
      <c r="E56" s="7"/>
      <c r="F56" s="7"/>
      <c r="G56" s="7"/>
      <c r="H56" s="7"/>
      <c r="I56" s="7"/>
      <c r="J56" s="7"/>
      <c r="K56" s="7"/>
      <c r="L56" s="7"/>
      <c r="M56" s="3" t="str">
        <f>IFERROR(IF(C56=ROUND(D56+SUM(F56:G56),0)," "," Стр. 50, Гр. 1 [C56]  д.б. = [Окр(D56+Сум(F56:G56),0)] {" &amp; ROUND(D56+SUM(F56:G56),0) &amp; "}.")," ") &amp; IFERROR(IF(H56=ROUND(I56+SUM(K56:L56),0)," "," Стр. 50, Гр. 6 [H56]  д.б. = [Окр(I56+Сум(K56:L56),0)] {" &amp; ROUND(I56+SUM(K56:L56),0) &amp; "}.")," ")</f>
        <v xml:space="preserve">  </v>
      </c>
    </row>
    <row r="57" spans="1:13" ht="30" customHeight="1" x14ac:dyDescent="0.25">
      <c r="A57" s="2" t="s">
        <v>133</v>
      </c>
      <c r="B57" s="1" t="s">
        <v>134</v>
      </c>
      <c r="C57" s="7"/>
      <c r="D57" s="7"/>
      <c r="E57" s="7"/>
      <c r="F57" s="7"/>
      <c r="G57" s="7"/>
      <c r="H57" s="7"/>
      <c r="I57" s="7"/>
      <c r="J57" s="7"/>
      <c r="K57" s="7"/>
      <c r="L57" s="7"/>
      <c r="M57" s="3" t="str">
        <f>IFERROR(IF(C57=ROUND(D57+SUM(F57:G57),0)," "," Стр. 51, Гр. 1 [C57]  д.б. = [Окр(D57+Сум(F57:G57),0)] {" &amp; ROUND(D57+SUM(F57:G57),0) &amp; "}.")," ") &amp; IFERROR(IF(H57=ROUND(I57+SUM(K57:L57),0)," "," Стр. 51, Гр. 6 [H57]  д.б. = [Окр(I57+Сум(K57:L57),0)] {" &amp; ROUND(I57+SUM(K57:L57),0) &amp; "}.")," ")</f>
        <v xml:space="preserve">  </v>
      </c>
    </row>
    <row r="58" spans="1:13" ht="30" customHeight="1" x14ac:dyDescent="0.25">
      <c r="A58" s="2" t="s">
        <v>135</v>
      </c>
      <c r="B58" s="1" t="s">
        <v>136</v>
      </c>
      <c r="C58" s="7"/>
      <c r="D58" s="7"/>
      <c r="E58" s="7"/>
      <c r="F58" s="7"/>
      <c r="G58" s="7"/>
      <c r="H58" s="7"/>
      <c r="I58" s="7"/>
      <c r="J58" s="7"/>
      <c r="K58" s="7"/>
      <c r="L58" s="7"/>
      <c r="M58" s="3" t="str">
        <f>IFERROR(IF(C58=ROUND(D58+SUM(F58:G58),0)," "," Стр. 52, Гр. 1 [C58]  д.б. = [Окр(D58+Сум(F58:G58),0)] {" &amp; ROUND(D58+SUM(F58:G58),0) &amp; "}.")," ") &amp; IFERROR(IF(H58=ROUND(I58+SUM(K58:L58),0)," "," Стр. 52, Гр. 6 [H58]  д.б. = [Окр(I58+Сум(K58:L58),0)] {" &amp; ROUND(I58+SUM(K58:L58),0) &amp; "}.")," ")</f>
        <v xml:space="preserve">  </v>
      </c>
    </row>
    <row r="59" spans="1:13" ht="30" customHeight="1" x14ac:dyDescent="0.25">
      <c r="A59" s="2" t="s">
        <v>137</v>
      </c>
      <c r="B59" s="1" t="s">
        <v>138</v>
      </c>
      <c r="C59" s="7"/>
      <c r="D59" s="7"/>
      <c r="E59" s="7"/>
      <c r="F59" s="7"/>
      <c r="G59" s="7"/>
      <c r="H59" s="7"/>
      <c r="I59" s="7"/>
      <c r="J59" s="7"/>
      <c r="K59" s="7"/>
      <c r="L59" s="7"/>
      <c r="M59" s="3" t="str">
        <f>IFERROR(IF(C59=ROUND(D59+SUM(F59:G59),0)," "," Стр. 53, Гр. 1 [C59]  д.б. = [Окр(D59+Сум(F59:G59),0)] {" &amp; ROUND(D59+SUM(F59:G59),0) &amp; "}.")," ") &amp; IFERROR(IF(H59=ROUND(I59+SUM(K59:L59),0)," "," Стр. 53, Гр. 6 [H59]  д.б. = [Окр(I59+Сум(K59:L59),0)] {" &amp; ROUND(I59+SUM(K59:L59),0) &amp; "}.")," ")</f>
        <v xml:space="preserve">  </v>
      </c>
    </row>
    <row r="60" spans="1:13" ht="30" customHeight="1" x14ac:dyDescent="0.25">
      <c r="A60" s="2" t="s">
        <v>139</v>
      </c>
      <c r="B60" s="1" t="s">
        <v>140</v>
      </c>
      <c r="C60" s="7"/>
      <c r="D60" s="7"/>
      <c r="E60" s="7"/>
      <c r="F60" s="7"/>
      <c r="G60" s="7"/>
      <c r="H60" s="7"/>
      <c r="I60" s="7"/>
      <c r="J60" s="7"/>
      <c r="K60" s="7"/>
      <c r="L60" s="7"/>
      <c r="M60" s="3" t="str">
        <f>IFERROR(IF(C60=ROUND(D60+SUM(F60:G60),0)," "," Стр. 54, Гр. 1 [C60]  д.б. = [Окр(D60+Сум(F60:G60),0)] {" &amp; ROUND(D60+SUM(F60:G60),0) &amp; "}.")," ") &amp; IFERROR(IF(H60=ROUND(I60+SUM(K60:L60),0)," "," Стр. 54, Гр. 6 [H60]  д.б. = [Окр(I60+Сум(K60:L60),0)] {" &amp; ROUND(I60+SUM(K60:L60),0) &amp; "}.")," ")</f>
        <v xml:space="preserve">  </v>
      </c>
    </row>
    <row r="61" spans="1:13" ht="30" customHeight="1" x14ac:dyDescent="0.25">
      <c r="A61" s="2" t="s">
        <v>141</v>
      </c>
      <c r="B61" s="1" t="s">
        <v>142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3" t="str">
        <f>IFERROR(IF(C61=ROUND(D61+SUM(F61:G61),0)," "," Стр. 55, Гр. 1 [C61]  д.б. = [Окр(D61+Сум(F61:G61),0)] {" &amp; ROUND(D61+SUM(F61:G61),0) &amp; "}.")," ") &amp; IFERROR(IF(H61=ROUND(I61+SUM(K61:L61),0)," "," Стр. 55, Гр. 6 [H61]  д.б. = [Окр(I61+Сум(K61:L61),0)] {" &amp; ROUND(I61+SUM(K61:L61),0) &amp; "}.")," ")</f>
        <v xml:space="preserve">  </v>
      </c>
    </row>
    <row r="62" spans="1:13" ht="30" customHeight="1" x14ac:dyDescent="0.25">
      <c r="A62" s="2" t="s">
        <v>143</v>
      </c>
      <c r="B62" s="1" t="s">
        <v>144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3" t="str">
        <f>IFERROR(IF(C62=ROUND(D62+SUM(F62:G62),0)," "," Стр. 56, Гр. 1 [C62]  д.б. = [Окр(D62+Сум(F62:G62),0)] {" &amp; ROUND(D62+SUM(F62:G62),0) &amp; "}.")," ") &amp; IFERROR(IF(H62=ROUND(I62+SUM(K62:L62),0)," "," Стр. 56, Гр. 6 [H62]  д.б. = [Окр(I62+Сум(K62:L62),0)] {" &amp; ROUND(I62+SUM(K62:L62),0) &amp; "}.")," ")</f>
        <v xml:space="preserve">  </v>
      </c>
    </row>
    <row r="63" spans="1:13" ht="30" customHeight="1" x14ac:dyDescent="0.25">
      <c r="A63" s="2" t="s">
        <v>145</v>
      </c>
      <c r="B63" s="1" t="s">
        <v>146</v>
      </c>
      <c r="C63" s="7"/>
      <c r="D63" s="7"/>
      <c r="E63" s="7"/>
      <c r="F63" s="7"/>
      <c r="G63" s="7"/>
      <c r="H63" s="7"/>
      <c r="I63" s="7"/>
      <c r="J63" s="7"/>
      <c r="K63" s="7"/>
      <c r="L63" s="7"/>
      <c r="M63" s="3" t="str">
        <f>IFERROR(IF(C63=ROUND(D63+SUM(F63:G63),0)," "," Стр. 57, Гр. 1 [C63]  д.б. = [Окр(D63+Сум(F63:G63),0)] {" &amp; ROUND(D63+SUM(F63:G63),0) &amp; "}.")," ") &amp; IFERROR(IF(H63=ROUND(I63+SUM(K63:L63),0)," "," Стр. 57, Гр. 6 [H63]  д.б. = [Окр(I63+Сум(K63:L63),0)] {" &amp; ROUND(I63+SUM(K63:L63),0) &amp; "}.")," ")</f>
        <v xml:space="preserve">  </v>
      </c>
    </row>
    <row r="64" spans="1:13" ht="30" customHeight="1" x14ac:dyDescent="0.25">
      <c r="A64" s="2" t="s">
        <v>147</v>
      </c>
      <c r="B64" s="1" t="s">
        <v>148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3" t="str">
        <f>IFERROR(IF(C64=ROUND(D64+SUM(F64:G64),0)," "," Стр. 58, Гр. 1 [C64]  д.б. = [Окр(D64+Сум(F64:G64),0)] {" &amp; ROUND(D64+SUM(F64:G64),0) &amp; "}.")," ") &amp; IFERROR(IF(H64=ROUND(I64+SUM(K64:L64),0)," "," Стр. 58, Гр. 6 [H64]  д.б. = [Окр(I64+Сум(K64:L64),0)] {" &amp; ROUND(I64+SUM(K64:L64),0) &amp; "}.")," ")</f>
        <v xml:space="preserve">  </v>
      </c>
    </row>
    <row r="65" spans="1:13" ht="30" customHeight="1" x14ac:dyDescent="0.25">
      <c r="A65" s="2" t="s">
        <v>149</v>
      </c>
      <c r="B65" s="1" t="s">
        <v>150</v>
      </c>
      <c r="C65" s="7"/>
      <c r="D65" s="7"/>
      <c r="E65" s="7"/>
      <c r="F65" s="7"/>
      <c r="G65" s="7"/>
      <c r="H65" s="7"/>
      <c r="I65" s="7"/>
      <c r="J65" s="7"/>
      <c r="K65" s="7"/>
      <c r="L65" s="7"/>
      <c r="M65" s="3" t="str">
        <f>IFERROR(IF(C65=ROUND(D65+SUM(F65:G65),0)," "," Стр. 59, Гр. 1 [C65]  д.б. = [Окр(D65+Сум(F65:G65),0)] {" &amp; ROUND(D65+SUM(F65:G65),0) &amp; "}.")," ") &amp; IFERROR(IF(H65=ROUND(I65+SUM(K65:L65),0)," "," Стр. 59, Гр. 6 [H65]  д.б. = [Окр(I65+Сум(K65:L65),0)] {" &amp; ROUND(I65+SUM(K65:L65),0) &amp; "}.")," ")</f>
        <v xml:space="preserve">  </v>
      </c>
    </row>
    <row r="66" spans="1:13" ht="30" customHeight="1" x14ac:dyDescent="0.25">
      <c r="A66" s="2" t="s">
        <v>151</v>
      </c>
      <c r="B66" s="1" t="s">
        <v>152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3" t="str">
        <f>IFERROR(IF(C66=ROUND(D66+SUM(F66:G66),0)," "," Стр. 60, Гр. 1 [C66]  д.б. = [Окр(D66+Сум(F66:G66),0)] {" &amp; ROUND(D66+SUM(F66:G66),0) &amp; "}.")," ") &amp; IFERROR(IF(H66=ROUND(I66+SUM(K66:L66),0)," "," Стр. 60, Гр. 6 [H66]  д.б. = [Окр(I66+Сум(K66:L66),0)] {" &amp; ROUND(I66+SUM(K66:L66),0) &amp; "}.")," ")</f>
        <v xml:space="preserve">  </v>
      </c>
    </row>
    <row r="67" spans="1:13" ht="30" customHeight="1" x14ac:dyDescent="0.25">
      <c r="A67" s="2" t="s">
        <v>153</v>
      </c>
      <c r="B67" s="1" t="s">
        <v>154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3" t="str">
        <f>IFERROR(IF(C67=ROUND(D67+SUM(F67:G67),0)," "," Стр. 61, Гр. 1 [C67]  д.б. = [Окр(D67+Сум(F67:G67),0)] {" &amp; ROUND(D67+SUM(F67:G67),0) &amp; "}.")," ") &amp; IFERROR(IF(H67=ROUND(I67+SUM(K67:L67),0)," "," Стр. 61, Гр. 6 [H67]  д.б. = [Окр(I67+Сум(K67:L67),0)] {" &amp; ROUND(I67+SUM(K67:L67),0) &amp; "}.")," ")</f>
        <v xml:space="preserve">  </v>
      </c>
    </row>
    <row r="68" spans="1:13" ht="30" customHeight="1" x14ac:dyDescent="0.25">
      <c r="A68" s="2" t="s">
        <v>155</v>
      </c>
      <c r="B68" s="1" t="s">
        <v>156</v>
      </c>
      <c r="C68" s="7"/>
      <c r="D68" s="7"/>
      <c r="E68" s="7"/>
      <c r="F68" s="7"/>
      <c r="G68" s="7"/>
      <c r="H68" s="7"/>
      <c r="I68" s="7"/>
      <c r="J68" s="7"/>
      <c r="K68" s="7"/>
      <c r="L68" s="7"/>
      <c r="M68" s="3" t="str">
        <f>IFERROR(IF(C68=ROUND(D68+SUM(F68:G68),0)," "," Стр. 62, Гр. 1 [C68]  д.б. = [Окр(D68+Сум(F68:G68),0)] {" &amp; ROUND(D68+SUM(F68:G68),0) &amp; "}.")," ") &amp; IFERROR(IF(H68=ROUND(I68+SUM(K68:L68),0)," "," Стр. 62, Гр. 6 [H68]  д.б. = [Окр(I68+Сум(K68:L68),0)] {" &amp; ROUND(I68+SUM(K68:L68),0) &amp; "}.")," ")</f>
        <v xml:space="preserve">  </v>
      </c>
    </row>
    <row r="69" spans="1:13" ht="30" customHeight="1" x14ac:dyDescent="0.25">
      <c r="A69" s="2" t="s">
        <v>157</v>
      </c>
      <c r="B69" s="1" t="s">
        <v>158</v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3" t="str">
        <f>IFERROR(IF(C69=ROUND(D69+SUM(F69:G69),0)," "," Стр. 63, Гр. 1 [C69]  д.б. = [Окр(D69+Сум(F69:G69),0)] {" &amp; ROUND(D69+SUM(F69:G69),0) &amp; "}.")," ") &amp; IFERROR(IF(H69=ROUND(I69+SUM(K69:L69),0)," "," Стр. 63, Гр. 6 [H69]  д.б. = [Окр(I69+Сум(K69:L69),0)] {" &amp; ROUND(I69+SUM(K69:L69),0) &amp; "}.")," ")</f>
        <v xml:space="preserve">  </v>
      </c>
    </row>
    <row r="70" spans="1:13" ht="30" customHeight="1" x14ac:dyDescent="0.25">
      <c r="A70" s="2" t="s">
        <v>159</v>
      </c>
      <c r="B70" s="1" t="s">
        <v>160</v>
      </c>
      <c r="C70" s="7"/>
      <c r="D70" s="7"/>
      <c r="E70" s="7"/>
      <c r="F70" s="7"/>
      <c r="G70" s="7"/>
      <c r="H70" s="7"/>
      <c r="I70" s="7"/>
      <c r="J70" s="7"/>
      <c r="K70" s="7"/>
      <c r="L70" s="7"/>
      <c r="M70" s="3" t="str">
        <f>IFERROR(IF(C70=ROUND(D70+SUM(F70:G70),0)," "," Стр. 64, Гр. 1 [C70]  д.б. = [Окр(D70+Сум(F70:G70),0)] {" &amp; ROUND(D70+SUM(F70:G70),0) &amp; "}.")," ") &amp; IFERROR(IF(H70=ROUND(I70+SUM(K70:L70),0)," "," Стр. 64, Гр. 6 [H70]  д.б. = [Окр(I70+Сум(K70:L70),0)] {" &amp; ROUND(I70+SUM(K70:L70),0) &amp; "}.")," ")</f>
        <v xml:space="preserve">  </v>
      </c>
    </row>
    <row r="71" spans="1:13" ht="30" customHeight="1" x14ac:dyDescent="0.25">
      <c r="A71" s="2" t="s">
        <v>161</v>
      </c>
      <c r="B71" s="1" t="s">
        <v>162</v>
      </c>
      <c r="C71" s="7"/>
      <c r="D71" s="7"/>
      <c r="E71" s="7"/>
      <c r="F71" s="7"/>
      <c r="G71" s="7"/>
      <c r="H71" s="7"/>
      <c r="I71" s="7"/>
      <c r="J71" s="7"/>
      <c r="K71" s="7"/>
      <c r="L71" s="7"/>
      <c r="M71" s="3" t="str">
        <f>IFERROR(IF(C71=ROUND(D71+SUM(F71:G71),0)," "," Стр. 65, Гр. 1 [C71]  д.б. = [Окр(D71+Сум(F71:G71),0)] {" &amp; ROUND(D71+SUM(F71:G71),0) &amp; "}.")," ") &amp; IFERROR(IF(H71=ROUND(I71+SUM(K71:L71),0)," "," Стр. 65, Гр. 6 [H71]  д.б. = [Окр(I71+Сум(K71:L71),0)] {" &amp; ROUND(I71+SUM(K71:L71),0) &amp; "}.")," ")</f>
        <v xml:space="preserve">  </v>
      </c>
    </row>
    <row r="72" spans="1:13" ht="30" customHeight="1" x14ac:dyDescent="0.25">
      <c r="A72" s="2" t="s">
        <v>163</v>
      </c>
      <c r="B72" s="1" t="s">
        <v>164</v>
      </c>
      <c r="C72" s="7"/>
      <c r="D72" s="7"/>
      <c r="E72" s="7"/>
      <c r="F72" s="7"/>
      <c r="G72" s="7"/>
      <c r="H72" s="7"/>
      <c r="I72" s="7"/>
      <c r="J72" s="7"/>
      <c r="K72" s="7"/>
      <c r="L72" s="7"/>
      <c r="M72" s="3" t="str">
        <f>IFERROR(IF(C72=ROUND(D72+SUM(F72:G72),0)," "," Стр. 66, Гр. 1 [C72]  д.б. = [Окр(D72+Сум(F72:G72),0)] {" &amp; ROUND(D72+SUM(F72:G72),0) &amp; "}.")," ") &amp; IFERROR(IF(H72=ROUND(I72+SUM(K72:L72),0)," "," Стр. 66, Гр. 6 [H72]  д.б. = [Окр(I72+Сум(K72:L72),0)] {" &amp; ROUND(I72+SUM(K72:L72),0) &amp; "}.")," ")</f>
        <v xml:space="preserve">  </v>
      </c>
    </row>
    <row r="73" spans="1:13" ht="30" customHeight="1" x14ac:dyDescent="0.25">
      <c r="A73" s="2" t="s">
        <v>165</v>
      </c>
      <c r="B73" s="1" t="s">
        <v>166</v>
      </c>
      <c r="C73" s="7"/>
      <c r="D73" s="7"/>
      <c r="E73" s="7"/>
      <c r="F73" s="7"/>
      <c r="G73" s="7"/>
      <c r="H73" s="7"/>
      <c r="I73" s="7"/>
      <c r="J73" s="7"/>
      <c r="K73" s="7"/>
      <c r="L73" s="7"/>
      <c r="M73" s="3" t="str">
        <f>IFERROR(IF(C73=ROUND(D73+SUM(F73:G73),0)," "," Стр. 67, Гр. 1 [C73]  д.б. = [Окр(D73+Сум(F73:G73),0)] {" &amp; ROUND(D73+SUM(F73:G73),0) &amp; "}.")," ") &amp; IFERROR(IF(H73=ROUND(I73+SUM(K73:L73),0)," "," Стр. 67, Гр. 6 [H73]  д.б. = [Окр(I73+Сум(K73:L73),0)] {" &amp; ROUND(I73+SUM(K73:L73),0) &amp; "}.")," ")</f>
        <v xml:space="preserve">  </v>
      </c>
    </row>
    <row r="74" spans="1:13" ht="30" customHeight="1" x14ac:dyDescent="0.25">
      <c r="A74" s="2" t="s">
        <v>167</v>
      </c>
      <c r="B74" s="1" t="s">
        <v>168</v>
      </c>
      <c r="C74" s="7"/>
      <c r="D74" s="7"/>
      <c r="E74" s="7"/>
      <c r="F74" s="7"/>
      <c r="G74" s="7"/>
      <c r="H74" s="7"/>
      <c r="I74" s="7"/>
      <c r="J74" s="7"/>
      <c r="K74" s="7"/>
      <c r="L74" s="7"/>
      <c r="M74" s="3" t="str">
        <f>IFERROR(IF(C74=ROUND(D74+SUM(F74:G74),0)," "," Стр. 68, Гр. 1 [C74]  д.б. = [Окр(D74+Сум(F74:G74),0)] {" &amp; ROUND(D74+SUM(F74:G74),0) &amp; "}.")," ") &amp; IFERROR(IF(H74=ROUND(I74+SUM(K74:L74),0)," "," Стр. 68, Гр. 6 [H74]  д.б. = [Окр(I74+Сум(K74:L74),0)] {" &amp; ROUND(I74+SUM(K74:L74),0) &amp; "}.")," ")</f>
        <v xml:space="preserve">  </v>
      </c>
    </row>
    <row r="75" spans="1:13" ht="30" customHeight="1" x14ac:dyDescent="0.25">
      <c r="A75" s="2" t="s">
        <v>169</v>
      </c>
      <c r="B75" s="1" t="s">
        <v>170</v>
      </c>
      <c r="C75" s="7"/>
      <c r="D75" s="7"/>
      <c r="E75" s="7"/>
      <c r="F75" s="7"/>
      <c r="G75" s="7"/>
      <c r="H75" s="7"/>
      <c r="I75" s="7"/>
      <c r="J75" s="7"/>
      <c r="K75" s="7"/>
      <c r="L75" s="7"/>
      <c r="M75" s="3" t="str">
        <f>IFERROR(IF(C75=ROUND(D75+SUM(F75:G75),0)," "," Стр. 69, Гр. 1 [C75]  д.б. = [Окр(D75+Сум(F75:G75),0)] {" &amp; ROUND(D75+SUM(F75:G75),0) &amp; "}.")," ") &amp; IFERROR(IF(H75=ROUND(I75+SUM(K75:L75),0)," "," Стр. 69, Гр. 6 [H75]  д.б. = [Окр(I75+Сум(K75:L75),0)] {" &amp; ROUND(I75+SUM(K75:L75),0) &amp; "}.")," ")</f>
        <v xml:space="preserve">  </v>
      </c>
    </row>
    <row r="76" spans="1:13" ht="30" customHeight="1" x14ac:dyDescent="0.25">
      <c r="A76" s="2" t="s">
        <v>171</v>
      </c>
      <c r="B76" s="1" t="s">
        <v>172</v>
      </c>
      <c r="C76" s="7"/>
      <c r="D76" s="7"/>
      <c r="E76" s="7"/>
      <c r="F76" s="7"/>
      <c r="G76" s="7"/>
      <c r="H76" s="7"/>
      <c r="I76" s="7"/>
      <c r="J76" s="7"/>
      <c r="K76" s="7"/>
      <c r="L76" s="7"/>
      <c r="M76" s="3" t="str">
        <f>IFERROR(IF(C76=ROUND(D76+SUM(F76:G76),0)," "," Стр. 70, Гр. 1 [C76]  д.б. = [Окр(D76+Сум(F76:G76),0)] {" &amp; ROUND(D76+SUM(F76:G76),0) &amp; "}.")," ") &amp; IFERROR(IF(H76=ROUND(I76+SUM(K76:L76),0)," "," Стр. 70, Гр. 6 [H76]  д.б. = [Окр(I76+Сум(K76:L76),0)] {" &amp; ROUND(I76+SUM(K76:L76),0) &amp; "}.")," ")</f>
        <v xml:space="preserve">  </v>
      </c>
    </row>
    <row r="77" spans="1:13" ht="30" customHeight="1" x14ac:dyDescent="0.25">
      <c r="A77" s="2" t="s">
        <v>173</v>
      </c>
      <c r="B77" s="1" t="s">
        <v>174</v>
      </c>
      <c r="C77" s="7"/>
      <c r="D77" s="7"/>
      <c r="E77" s="7"/>
      <c r="F77" s="7"/>
      <c r="G77" s="7"/>
      <c r="H77" s="7"/>
      <c r="I77" s="7"/>
      <c r="J77" s="7"/>
      <c r="K77" s="7"/>
      <c r="L77" s="7"/>
      <c r="M77" s="3" t="str">
        <f>IFERROR(IF(C77=ROUND(D77+SUM(F77:G77),0)," "," Стр. 71, Гр. 1 [C77]  д.б. = [Окр(D77+Сум(F77:G77),0)] {" &amp; ROUND(D77+SUM(F77:G77),0) &amp; "}.")," ") &amp; IFERROR(IF(H77=ROUND(I77+SUM(K77:L77),0)," "," Стр. 71, Гр. 6 [H77]  д.б. = [Окр(I77+Сум(K77:L77),0)] {" &amp; ROUND(I77+SUM(K77:L77),0) &amp; "}.")," ")</f>
        <v xml:space="preserve">  </v>
      </c>
    </row>
    <row r="78" spans="1:13" ht="30" customHeight="1" x14ac:dyDescent="0.25">
      <c r="A78" s="2" t="s">
        <v>175</v>
      </c>
      <c r="B78" s="1" t="s">
        <v>176</v>
      </c>
      <c r="C78" s="7"/>
      <c r="D78" s="7"/>
      <c r="E78" s="7"/>
      <c r="F78" s="7"/>
      <c r="G78" s="7"/>
      <c r="H78" s="7"/>
      <c r="I78" s="7"/>
      <c r="J78" s="7"/>
      <c r="K78" s="7"/>
      <c r="L78" s="7"/>
      <c r="M78" s="3" t="str">
        <f>IFERROR(IF(C78=ROUND(D78+SUM(F78:G78),0)," "," Стр. 72, Гр. 1 [C78]  д.б. = [Окр(D78+Сум(F78:G78),0)] {" &amp; ROUND(D78+SUM(F78:G78),0) &amp; "}.")," ") &amp; IFERROR(IF(H78=ROUND(I78+SUM(K78:L78),0)," "," Стр. 72, Гр. 6 [H78]  д.б. = [Окр(I78+Сум(K78:L78),0)] {" &amp; ROUND(I78+SUM(K78:L78),0) &amp; "}.")," ")</f>
        <v xml:space="preserve">  </v>
      </c>
    </row>
    <row r="79" spans="1:13" ht="30" customHeight="1" x14ac:dyDescent="0.25">
      <c r="A79" s="2" t="s">
        <v>177</v>
      </c>
      <c r="B79" s="1" t="s">
        <v>178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3" t="str">
        <f>IFERROR(IF(C79=ROUND(D79+SUM(F79:G79),0)," "," Стр. 73, Гр. 1 [C79]  д.б. = [Окр(D79+Сум(F79:G79),0)] {" &amp; ROUND(D79+SUM(F79:G79),0) &amp; "}.")," ") &amp; IFERROR(IF(H79=ROUND(I79+SUM(K79:L79),0)," "," Стр. 73, Гр. 6 [H79]  д.б. = [Окр(I79+Сум(K79:L79),0)] {" &amp; ROUND(I79+SUM(K79:L79),0) &amp; "}.")," ")</f>
        <v xml:space="preserve">  </v>
      </c>
    </row>
    <row r="80" spans="1:13" ht="30" customHeight="1" x14ac:dyDescent="0.25">
      <c r="A80" s="2" t="s">
        <v>179</v>
      </c>
      <c r="B80" s="1" t="s">
        <v>180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3" t="str">
        <f>IFERROR(IF(C80=ROUND(D80+SUM(F80:G80),0)," "," Стр. 74, Гр. 1 [C80]  д.б. = [Окр(D80+Сум(F80:G80),0)] {" &amp; ROUND(D80+SUM(F80:G80),0) &amp; "}.")," ") &amp; IFERROR(IF(H80=ROUND(I80+SUM(K80:L80),0)," "," Стр. 74, Гр. 6 [H80]  д.б. = [Окр(I80+Сум(K80:L80),0)] {" &amp; ROUND(I80+SUM(K80:L80),0) &amp; "}.")," ")</f>
        <v xml:space="preserve">  </v>
      </c>
    </row>
    <row r="81" spans="1:13" ht="30" customHeight="1" x14ac:dyDescent="0.25">
      <c r="A81" s="2" t="s">
        <v>181</v>
      </c>
      <c r="B81" s="1" t="s">
        <v>182</v>
      </c>
      <c r="C81" s="7"/>
      <c r="D81" s="7"/>
      <c r="E81" s="7"/>
      <c r="F81" s="7"/>
      <c r="G81" s="7"/>
      <c r="H81" s="7"/>
      <c r="I81" s="7"/>
      <c r="J81" s="7"/>
      <c r="K81" s="7"/>
      <c r="L81" s="7"/>
      <c r="M81" s="3" t="str">
        <f>IFERROR(IF(C81=ROUND(D81+SUM(F81:G81),0)," "," Стр. 75, Гр. 1 [C81]  д.б. = [Окр(D81+Сум(F81:G81),0)] {" &amp; ROUND(D81+SUM(F81:G81),0) &amp; "}.")," ") &amp; IFERROR(IF(H81=ROUND(I81+SUM(K81:L81),0)," "," Стр. 75, Гр. 6 [H81]  д.б. = [Окр(I81+Сум(K81:L81),0)] {" &amp; ROUND(I81+SUM(K81:L81),0) &amp; "}.")," ")</f>
        <v xml:space="preserve">  </v>
      </c>
    </row>
    <row r="82" spans="1:13" ht="30" customHeight="1" x14ac:dyDescent="0.25">
      <c r="A82" s="2" t="s">
        <v>183</v>
      </c>
      <c r="B82" s="1" t="s">
        <v>184</v>
      </c>
      <c r="C82" s="7"/>
      <c r="D82" s="7"/>
      <c r="E82" s="7"/>
      <c r="F82" s="7"/>
      <c r="G82" s="7"/>
      <c r="H82" s="7"/>
      <c r="I82" s="7"/>
      <c r="J82" s="7"/>
      <c r="K82" s="7"/>
      <c r="L82" s="7"/>
      <c r="M82" s="3" t="str">
        <f>IFERROR(IF(C82=ROUND(D82+SUM(F82:G82),0)," "," Стр. 76, Гр. 1 [C82]  д.б. = [Окр(D82+Сум(F82:G82),0)] {" &amp; ROUND(D82+SUM(F82:G82),0) &amp; "}.")," ") &amp; IFERROR(IF(H82=ROUND(I82+SUM(K82:L82),0)," "," Стр. 76, Гр. 6 [H82]  д.б. = [Окр(I82+Сум(K82:L82),0)] {" &amp; ROUND(I82+SUM(K82:L82),0) &amp; "}.")," ")</f>
        <v xml:space="preserve">  </v>
      </c>
    </row>
    <row r="83" spans="1:13" ht="30" customHeight="1" x14ac:dyDescent="0.25">
      <c r="A83" s="2" t="s">
        <v>185</v>
      </c>
      <c r="B83" s="1" t="s">
        <v>186</v>
      </c>
      <c r="C83" s="7"/>
      <c r="D83" s="7"/>
      <c r="E83" s="7"/>
      <c r="F83" s="7"/>
      <c r="G83" s="7"/>
      <c r="H83" s="7"/>
      <c r="I83" s="7"/>
      <c r="J83" s="7"/>
      <c r="K83" s="7"/>
      <c r="L83" s="7"/>
      <c r="M83" s="3" t="str">
        <f>IFERROR(IF(C83=ROUND(D83+SUM(F83:G83),0)," "," Стр. 77, Гр. 1 [C83]  д.б. = [Окр(D83+Сум(F83:G83),0)] {" &amp; ROUND(D83+SUM(F83:G83),0) &amp; "}.")," ") &amp; IFERROR(IF(H83=ROUND(I83+SUM(K83:L83),0)," "," Стр. 77, Гр. 6 [H83]  д.б. = [Окр(I83+Сум(K83:L83),0)] {" &amp; ROUND(I83+SUM(K83:L83),0) &amp; "}.")," ")</f>
        <v xml:space="preserve">  </v>
      </c>
    </row>
    <row r="84" spans="1:13" ht="30" customHeight="1" x14ac:dyDescent="0.25">
      <c r="A84" s="2" t="s">
        <v>187</v>
      </c>
      <c r="B84" s="1" t="s">
        <v>188</v>
      </c>
      <c r="C84" s="7"/>
      <c r="D84" s="7"/>
      <c r="E84" s="7"/>
      <c r="F84" s="7"/>
      <c r="G84" s="7"/>
      <c r="H84" s="7"/>
      <c r="I84" s="7"/>
      <c r="J84" s="7"/>
      <c r="K84" s="7"/>
      <c r="L84" s="7"/>
      <c r="M84" s="3" t="str">
        <f>IFERROR(IF(C84=ROUND(D84+SUM(F84:G84),0)," "," Стр. 78, Гр. 1 [C84]  д.б. = [Окр(D84+Сум(F84:G84),0)] {" &amp; ROUND(D84+SUM(F84:G84),0) &amp; "}.")," ") &amp; IFERROR(IF(H84=ROUND(I84+SUM(K84:L84),0)," "," Стр. 78, Гр. 6 [H84]  д.б. = [Окр(I84+Сум(K84:L84),0)] {" &amp; ROUND(I84+SUM(K84:L84),0) &amp; "}.")," ")</f>
        <v xml:space="preserve">  </v>
      </c>
    </row>
    <row r="85" spans="1:13" ht="30" customHeight="1" x14ac:dyDescent="0.25">
      <c r="A85" s="2" t="s">
        <v>189</v>
      </c>
      <c r="B85" s="1" t="s">
        <v>190</v>
      </c>
      <c r="C85" s="7"/>
      <c r="D85" s="7"/>
      <c r="E85" s="7"/>
      <c r="F85" s="7"/>
      <c r="G85" s="7"/>
      <c r="H85" s="7"/>
      <c r="I85" s="7"/>
      <c r="J85" s="7"/>
      <c r="K85" s="7"/>
      <c r="L85" s="7"/>
      <c r="M85" s="3" t="str">
        <f>IFERROR(IF(C85=ROUND(D85+SUM(F85:G85),0)," "," Стр. 79, Гр. 1 [C85]  д.б. = [Окр(D85+Сум(F85:G85),0)] {" &amp; ROUND(D85+SUM(F85:G85),0) &amp; "}.")," ") &amp; IFERROR(IF(H85=ROUND(I85+SUM(K85:L85),0)," "," Стр. 79, Гр. 6 [H85]  д.б. = [Окр(I85+Сум(K85:L85),0)] {" &amp; ROUND(I85+SUM(K85:L85),0) &amp; "}.")," ")</f>
        <v xml:space="preserve">  </v>
      </c>
    </row>
    <row r="86" spans="1:13" ht="30" customHeight="1" x14ac:dyDescent="0.25">
      <c r="A86" s="2" t="s">
        <v>191</v>
      </c>
      <c r="B86" s="1" t="s">
        <v>192</v>
      </c>
      <c r="C86" s="7"/>
      <c r="D86" s="7"/>
      <c r="E86" s="7"/>
      <c r="F86" s="7"/>
      <c r="G86" s="7"/>
      <c r="H86" s="7"/>
      <c r="I86" s="7"/>
      <c r="J86" s="7"/>
      <c r="K86" s="7"/>
      <c r="L86" s="7"/>
      <c r="M86" s="3" t="str">
        <f>IFERROR(IF(C86=ROUND(D86+SUM(F86:G86),0)," "," Стр. 80, Гр. 1 [C86]  д.б. = [Окр(D86+Сум(F86:G86),0)] {" &amp; ROUND(D86+SUM(F86:G86),0) &amp; "}.")," ") &amp; IFERROR(IF(H86=ROUND(I86+SUM(K86:L86),0)," "," Стр. 80, Гр. 6 [H86]  д.б. = [Окр(I86+Сум(K86:L86),0)] {" &amp; ROUND(I86+SUM(K86:L86),0) &amp; "}.")," ")</f>
        <v xml:space="preserve">  </v>
      </c>
    </row>
    <row r="87" spans="1:13" ht="30" customHeight="1" x14ac:dyDescent="0.25">
      <c r="A87" s="2" t="s">
        <v>193</v>
      </c>
      <c r="B87" s="1" t="s">
        <v>194</v>
      </c>
      <c r="C87" s="7"/>
      <c r="D87" s="7"/>
      <c r="E87" s="7"/>
      <c r="F87" s="7"/>
      <c r="G87" s="7"/>
      <c r="H87" s="7"/>
      <c r="I87" s="7"/>
      <c r="J87" s="7"/>
      <c r="K87" s="7"/>
      <c r="L87" s="7"/>
      <c r="M87" s="3" t="str">
        <f>IFERROR(IF(C87=ROUND(D87+SUM(F87:G87),0)," "," Стр. 81, Гр. 1 [C87]  д.б. = [Окр(D87+Сум(F87:G87),0)] {" &amp; ROUND(D87+SUM(F87:G87),0) &amp; "}.")," ") &amp; IFERROR(IF(H87=ROUND(I87+SUM(K87:L87),0)," "," Стр. 81, Гр. 6 [H87]  д.б. = [Окр(I87+Сум(K87:L87),0)] {" &amp; ROUND(I87+SUM(K87:L87),0) &amp; "}.")," ")</f>
        <v xml:space="preserve">  </v>
      </c>
    </row>
    <row r="88" spans="1:13" ht="30" customHeight="1" x14ac:dyDescent="0.25">
      <c r="A88" s="2" t="s">
        <v>195</v>
      </c>
      <c r="B88" s="1" t="s">
        <v>196</v>
      </c>
      <c r="C88" s="7"/>
      <c r="D88" s="7"/>
      <c r="E88" s="7"/>
      <c r="F88" s="7"/>
      <c r="G88" s="7"/>
      <c r="H88" s="7"/>
      <c r="I88" s="7"/>
      <c r="J88" s="7"/>
      <c r="K88" s="7"/>
      <c r="L88" s="7"/>
      <c r="M88" s="3" t="str">
        <f>IFERROR(IF(C88=ROUND(D88+SUM(F88:G88),0)," "," Стр. 82, Гр. 1 [C88]  д.б. = [Окр(D88+Сум(F88:G88),0)] {" &amp; ROUND(D88+SUM(F88:G88),0) &amp; "}.")," ") &amp; IFERROR(IF(H88=ROUND(I88+SUM(K88:L88),0)," "," Стр. 82, Гр. 6 [H88]  д.б. = [Окр(I88+Сум(K88:L88),0)] {" &amp; ROUND(I88+SUM(K88:L88),0) &amp; "}.")," ")</f>
        <v xml:space="preserve">  </v>
      </c>
    </row>
    <row r="89" spans="1:13" ht="30" customHeight="1" x14ac:dyDescent="0.25">
      <c r="A89" s="2" t="s">
        <v>197</v>
      </c>
      <c r="B89" s="1" t="s">
        <v>198</v>
      </c>
      <c r="C89" s="7"/>
      <c r="D89" s="7"/>
      <c r="E89" s="7"/>
      <c r="F89" s="7"/>
      <c r="G89" s="7"/>
      <c r="H89" s="7"/>
      <c r="I89" s="7"/>
      <c r="J89" s="7"/>
      <c r="K89" s="7"/>
      <c r="L89" s="7"/>
      <c r="M89" s="3" t="str">
        <f>IFERROR(IF(C89=ROUND(D89+SUM(F89:G89),0)," "," Стр. 83, Гр. 1 [C89]  д.б. = [Окр(D89+Сум(F89:G89),0)] {" &amp; ROUND(D89+SUM(F89:G89),0) &amp; "}.")," ") &amp; IFERROR(IF(H89=ROUND(I89+SUM(K89:L89),0)," "," Стр. 83, Гр. 6 [H89]  д.б. = [Окр(I89+Сум(K89:L89),0)] {" &amp; ROUND(I89+SUM(K89:L89),0) &amp; "}.")," ")</f>
        <v xml:space="preserve">  </v>
      </c>
    </row>
    <row r="90" spans="1:13" ht="30" customHeight="1" x14ac:dyDescent="0.25">
      <c r="A90" s="2" t="s">
        <v>199</v>
      </c>
      <c r="B90" s="1" t="s">
        <v>200</v>
      </c>
      <c r="C90" s="7"/>
      <c r="D90" s="7"/>
      <c r="E90" s="7"/>
      <c r="F90" s="7"/>
      <c r="G90" s="7"/>
      <c r="H90" s="7"/>
      <c r="I90" s="7"/>
      <c r="J90" s="7"/>
      <c r="K90" s="7"/>
      <c r="L90" s="7"/>
      <c r="M90" s="3" t="str">
        <f>IFERROR(IF(C90=ROUND(D90+SUM(F90:G90),0)," "," Стр. 84, Гр. 1 [C90]  д.б. = [Окр(D90+Сум(F90:G90),0)] {" &amp; ROUND(D90+SUM(F90:G90),0) &amp; "}.")," ") &amp; IFERROR(IF(H90=ROUND(I90+SUM(K90:L90),0)," "," Стр. 84, Гр. 6 [H90]  д.б. = [Окр(I90+Сум(K90:L90),0)] {" &amp; ROUND(I90+SUM(K90:L90),0) &amp; "}.")," ")</f>
        <v xml:space="preserve">  </v>
      </c>
    </row>
    <row r="91" spans="1:13" ht="30" customHeight="1" x14ac:dyDescent="0.25">
      <c r="A91" s="2" t="s">
        <v>201</v>
      </c>
      <c r="B91" s="1" t="s">
        <v>202</v>
      </c>
      <c r="C91" s="7"/>
      <c r="D91" s="7"/>
      <c r="E91" s="7"/>
      <c r="F91" s="7"/>
      <c r="G91" s="7"/>
      <c r="H91" s="7"/>
      <c r="I91" s="7"/>
      <c r="J91" s="7"/>
      <c r="K91" s="7"/>
      <c r="L91" s="7"/>
      <c r="M91" s="3" t="str">
        <f>IFERROR(IF(C91=ROUND(D91+SUM(F91:G91),0)," "," Стр. 85, Гр. 1 [C91]  д.б. = [Окр(D91+Сум(F91:G91),0)] {" &amp; ROUND(D91+SUM(F91:G91),0) &amp; "}.")," ") &amp; IFERROR(IF(H91=ROUND(I91+SUM(K91:L91),0)," "," Стр. 85, Гр. 6 [H91]  д.б. = [Окр(I91+Сум(K91:L91),0)] {" &amp; ROUND(I91+SUM(K91:L91),0) &amp; "}.")," ")</f>
        <v xml:space="preserve">  </v>
      </c>
    </row>
    <row r="92" spans="1:13" ht="30" customHeight="1" x14ac:dyDescent="0.25">
      <c r="A92" s="2" t="s">
        <v>203</v>
      </c>
      <c r="B92" s="1" t="s">
        <v>204</v>
      </c>
      <c r="C92" s="7"/>
      <c r="D92" s="7"/>
      <c r="E92" s="7"/>
      <c r="F92" s="7"/>
      <c r="G92" s="7"/>
      <c r="H92" s="7"/>
      <c r="I92" s="7"/>
      <c r="J92" s="7"/>
      <c r="K92" s="7"/>
      <c r="L92" s="7"/>
      <c r="M92" s="3" t="str">
        <f>IFERROR(IF(C92=ROUND(D92+SUM(F92:G92),0)," "," Стр. 86, Гр. 1 [C92]  д.б. = [Окр(D92+Сум(F92:G92),0)] {" &amp; ROUND(D92+SUM(F92:G92),0) &amp; "}.")," ") &amp; IFERROR(IF(H92=ROUND(I92+SUM(K92:L92),0)," "," Стр. 86, Гр. 6 [H92]  д.б. = [Окр(I92+Сум(K92:L92),0)] {" &amp; ROUND(I92+SUM(K92:L92),0) &amp; "}.")," ")</f>
        <v xml:space="preserve">  </v>
      </c>
    </row>
    <row r="93" spans="1:13" ht="30" customHeight="1" x14ac:dyDescent="0.25">
      <c r="A93" s="2" t="s">
        <v>205</v>
      </c>
      <c r="B93" s="1" t="s">
        <v>206</v>
      </c>
      <c r="C93" s="7"/>
      <c r="D93" s="7"/>
      <c r="E93" s="7"/>
      <c r="F93" s="7"/>
      <c r="G93" s="7"/>
      <c r="H93" s="7"/>
      <c r="I93" s="7"/>
      <c r="J93" s="7"/>
      <c r="K93" s="7"/>
      <c r="L93" s="7"/>
      <c r="M93" s="3" t="str">
        <f>IFERROR(IF(C93=ROUND(D93+SUM(F93:G93),0)," "," Стр. 87, Гр. 1 [C93]  д.б. = [Окр(D93+Сум(F93:G93),0)] {" &amp; ROUND(D93+SUM(F93:G93),0) &amp; "}.")," ") &amp; IFERROR(IF(H93=ROUND(I93+SUM(K93:L93),0)," "," Стр. 87, Гр. 6 [H93]  д.б. = [Окр(I93+Сум(K93:L93),0)] {" &amp; ROUND(I93+SUM(K93:L93),0) &amp; "}.")," ")</f>
        <v xml:space="preserve">  </v>
      </c>
    </row>
    <row r="94" spans="1:13" ht="30" customHeight="1" x14ac:dyDescent="0.25">
      <c r="A94" s="2" t="s">
        <v>207</v>
      </c>
      <c r="B94" s="1" t="s">
        <v>208</v>
      </c>
      <c r="C94" s="7"/>
      <c r="D94" s="7"/>
      <c r="E94" s="7"/>
      <c r="F94" s="7"/>
      <c r="G94" s="7"/>
      <c r="H94" s="7"/>
      <c r="I94" s="7"/>
      <c r="J94" s="7"/>
      <c r="K94" s="7"/>
      <c r="L94" s="7"/>
      <c r="M94" s="3" t="str">
        <f>IFERROR(IF(C94=ROUND(D94+SUM(F94:G94),0)," "," Стр. 88, Гр. 1 [C94]  д.б. = [Окр(D94+Сум(F94:G94),0)] {" &amp; ROUND(D94+SUM(F94:G94),0) &amp; "}.")," ") &amp; IFERROR(IF(H94=ROUND(I94+SUM(K94:L94),0)," "," Стр. 88, Гр. 6 [H94]  д.б. = [Окр(I94+Сум(K94:L94),0)] {" &amp; ROUND(I94+SUM(K94:L94),0) &amp; "}.")," ")</f>
        <v xml:space="preserve">  </v>
      </c>
    </row>
    <row r="95" spans="1:13" ht="30" customHeight="1" x14ac:dyDescent="0.25">
      <c r="A95" s="2" t="s">
        <v>209</v>
      </c>
      <c r="B95" s="1" t="s">
        <v>210</v>
      </c>
      <c r="C95" s="7"/>
      <c r="D95" s="7"/>
      <c r="E95" s="7"/>
      <c r="F95" s="7"/>
      <c r="G95" s="7"/>
      <c r="H95" s="7"/>
      <c r="I95" s="7"/>
      <c r="J95" s="7"/>
      <c r="K95" s="7"/>
      <c r="L95" s="7"/>
      <c r="M95" s="3" t="str">
        <f>IFERROR(IF(C95=ROUND(D95+SUM(F95:G95),0)," "," Стр. 89, Гр. 1 [C95]  д.б. = [Окр(D95+Сум(F95:G95),0)] {" &amp; ROUND(D95+SUM(F95:G95),0) &amp; "}.")," ") &amp; IFERROR(IF(H95=ROUND(I95+SUM(K95:L95),0)," "," Стр. 89, Гр. 6 [H95]  д.б. = [Окр(I95+Сум(K95:L95),0)] {" &amp; ROUND(I95+SUM(K95:L95),0) &amp; "}.")," ")</f>
        <v xml:space="preserve">  </v>
      </c>
    </row>
    <row r="96" spans="1:13" ht="30" customHeight="1" x14ac:dyDescent="0.25">
      <c r="A96" s="2" t="s">
        <v>211</v>
      </c>
      <c r="B96" s="1" t="s">
        <v>212</v>
      </c>
      <c r="C96" s="7"/>
      <c r="D96" s="7"/>
      <c r="E96" s="7"/>
      <c r="F96" s="7"/>
      <c r="G96" s="7"/>
      <c r="H96" s="7"/>
      <c r="I96" s="7"/>
      <c r="J96" s="7"/>
      <c r="K96" s="7"/>
      <c r="L96" s="7"/>
      <c r="M96" s="3" t="str">
        <f>IFERROR(IF(C96=ROUND(D96+SUM(F96:G96),0)," "," Стр. 90, Гр. 1 [C96]  д.б. = [Окр(D96+Сум(F96:G96),0)] {" &amp; ROUND(D96+SUM(F96:G96),0) &amp; "}.")," ") &amp; IFERROR(IF(H96=ROUND(I96+SUM(K96:L96),0)," "," Стр. 90, Гр. 6 [H96]  д.б. = [Окр(I96+Сум(K96:L96),0)] {" &amp; ROUND(I96+SUM(K96:L96),0) &amp; "}.")," ")</f>
        <v xml:space="preserve">  </v>
      </c>
    </row>
    <row r="97" spans="1:13" ht="30" customHeight="1" x14ac:dyDescent="0.25">
      <c r="A97" s="2" t="s">
        <v>213</v>
      </c>
      <c r="B97" s="1" t="s">
        <v>214</v>
      </c>
      <c r="C97" s="7"/>
      <c r="D97" s="7"/>
      <c r="E97" s="7"/>
      <c r="F97" s="7"/>
      <c r="G97" s="7"/>
      <c r="H97" s="7"/>
      <c r="I97" s="7"/>
      <c r="J97" s="7"/>
      <c r="K97" s="7"/>
      <c r="L97" s="7"/>
      <c r="M97" s="3" t="str">
        <f>IFERROR(IF(C97=ROUND(D97+SUM(F97:G97),0)," "," Стр. 91, Гр. 1 [C97]  д.б. = [Окр(D97+Сум(F97:G97),0)] {" &amp; ROUND(D97+SUM(F97:G97),0) &amp; "}.")," ") &amp; IFERROR(IF(H97=ROUND(I97+SUM(K97:L97),0)," "," Стр. 91, Гр. 6 [H97]  д.б. = [Окр(I97+Сум(K97:L97),0)] {" &amp; ROUND(I97+SUM(K97:L97),0) &amp; "}.")," ")</f>
        <v xml:space="preserve">  </v>
      </c>
    </row>
    <row r="98" spans="1:13" ht="30" customHeight="1" x14ac:dyDescent="0.25">
      <c r="A98" s="2" t="s">
        <v>215</v>
      </c>
      <c r="B98" s="1" t="s">
        <v>216</v>
      </c>
      <c r="C98" s="7"/>
      <c r="D98" s="7"/>
      <c r="E98" s="7"/>
      <c r="F98" s="7"/>
      <c r="G98" s="7"/>
      <c r="H98" s="7"/>
      <c r="I98" s="7"/>
      <c r="J98" s="7"/>
      <c r="K98" s="7"/>
      <c r="L98" s="7"/>
      <c r="M98" s="3" t="str">
        <f>IFERROR(IF(C98=ROUND(D98+SUM(F98:G98),0)," "," Стр. 92, Гр. 1 [C98]  д.б. = [Окр(D98+Сум(F98:G98),0)] {" &amp; ROUND(D98+SUM(F98:G98),0) &amp; "}.")," ") &amp; IFERROR(IF(H98=ROUND(I98+SUM(K98:L98),0)," "," Стр. 92, Гр. 6 [H98]  д.б. = [Окр(I98+Сум(K98:L98),0)] {" &amp; ROUND(I98+SUM(K98:L98),0) &amp; "}.")," ")</f>
        <v xml:space="preserve">  </v>
      </c>
    </row>
    <row r="99" spans="1:13" ht="30" customHeight="1" x14ac:dyDescent="0.25">
      <c r="A99" s="2" t="s">
        <v>217</v>
      </c>
      <c r="B99" s="1" t="s">
        <v>218</v>
      </c>
      <c r="C99" s="7"/>
      <c r="D99" s="7"/>
      <c r="E99" s="7"/>
      <c r="F99" s="7"/>
      <c r="G99" s="7"/>
      <c r="H99" s="7"/>
      <c r="I99" s="7"/>
      <c r="J99" s="7"/>
      <c r="K99" s="7"/>
      <c r="L99" s="7"/>
      <c r="M99" s="3" t="str">
        <f>IFERROR(IF(C99=ROUND(D99+SUM(F99:G99),0)," "," Стр. 93, Гр. 1 [C99]  д.б. = [Окр(D99+Сум(F99:G99),0)] {" &amp; ROUND(D99+SUM(F99:G99),0) &amp; "}.")," ") &amp; IFERROR(IF(H99=ROUND(I99+SUM(K99:L99),0)," "," Стр. 93, Гр. 6 [H99]  д.б. = [Окр(I99+Сум(K99:L99),0)] {" &amp; ROUND(I99+SUM(K99:L99),0) &amp; "}.")," ")</f>
        <v xml:space="preserve">  </v>
      </c>
    </row>
    <row r="100" spans="1:13" ht="30" customHeight="1" x14ac:dyDescent="0.25">
      <c r="A100" s="2" t="s">
        <v>219</v>
      </c>
      <c r="B100" s="1" t="s">
        <v>220</v>
      </c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3" t="str">
        <f>IFERROR(IF(C100=ROUND(D100+SUM(F100:G100),0)," "," Стр. 94, Гр. 1 [C100]  д.б. = [Окр(D100+Сум(F100:G100),0)] {" &amp; ROUND(D100+SUM(F100:G100),0) &amp; "}.")," ") &amp; IFERROR(IF(H100=ROUND(I100+SUM(K100:L100),0)," "," Стр. 94, Гр. 6 [H100]  д.б. = [Окр(I100+Сум(K100:L100),0)] {" &amp; ROUND(I100+SUM(K100:L100),0) &amp; "}.")," ")</f>
        <v xml:space="preserve">  </v>
      </c>
    </row>
    <row r="101" spans="1:13" ht="30" customHeight="1" x14ac:dyDescent="0.25">
      <c r="A101" s="2" t="s">
        <v>221</v>
      </c>
      <c r="B101" s="1" t="s">
        <v>222</v>
      </c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3" t="str">
        <f>IFERROR(IF(C101=ROUND(D101+SUM(F101:G101),0)," "," Стр. 95, Гр. 1 [C101]  д.б. = [Окр(D101+Сум(F101:G101),0)] {" &amp; ROUND(D101+SUM(F101:G101),0) &amp; "}.")," ") &amp; IFERROR(IF(H101=ROUND(I101+SUM(K101:L101),0)," "," Стр. 95, Гр. 6 [H101]  д.б. = [Окр(I101+Сум(K101:L101),0)] {" &amp; ROUND(I101+SUM(K101:L101),0) &amp; "}.")," ")</f>
        <v xml:space="preserve">  </v>
      </c>
    </row>
    <row r="102" spans="1:13" ht="30" customHeight="1" x14ac:dyDescent="0.25">
      <c r="A102" s="2" t="s">
        <v>223</v>
      </c>
      <c r="B102" s="1" t="s">
        <v>224</v>
      </c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3" t="str">
        <f>IFERROR(IF(C102=ROUND(D102+SUM(F102:G102),0)," "," Стр. 96, Гр. 1 [C102]  д.б. = [Окр(D102+Сум(F102:G102),0)] {" &amp; ROUND(D102+SUM(F102:G102),0) &amp; "}.")," ") &amp; IFERROR(IF(H102=ROUND(I102+SUM(K102:L102),0)," "," Стр. 96, Гр. 6 [H102]  д.б. = [Окр(I102+Сум(K102:L102),0)] {" &amp; ROUND(I102+SUM(K102:L102),0) &amp; "}.")," ")</f>
        <v xml:space="preserve">  </v>
      </c>
    </row>
    <row r="103" spans="1:13" ht="30" customHeight="1" x14ac:dyDescent="0.25">
      <c r="A103" s="2" t="s">
        <v>225</v>
      </c>
      <c r="B103" s="1" t="s">
        <v>226</v>
      </c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3" t="str">
        <f>IFERROR(IF(C103=ROUND(D103+SUM(F103:G103),0)," "," Стр. 97, Гр. 1 [C103]  д.б. = [Окр(D103+Сум(F103:G103),0)] {" &amp; ROUND(D103+SUM(F103:G103),0) &amp; "}.")," ") &amp; IFERROR(IF(H103=ROUND(I103+SUM(K103:L103),0)," "," Стр. 97, Гр. 6 [H103]  д.б. = [Окр(I103+Сум(K103:L103),0)] {" &amp; ROUND(I103+SUM(K103:L103),0) &amp; "}.")," ")</f>
        <v xml:space="preserve">  </v>
      </c>
    </row>
    <row r="104" spans="1:13" ht="30" customHeight="1" x14ac:dyDescent="0.25">
      <c r="A104" s="2" t="s">
        <v>227</v>
      </c>
      <c r="B104" s="1" t="s">
        <v>228</v>
      </c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3" t="str">
        <f>IFERROR(IF(C104=ROUND(D104+SUM(F104:G104),0)," "," Стр. 98, Гр. 1 [C104]  д.б. = [Окр(D104+Сум(F104:G104),0)] {" &amp; ROUND(D104+SUM(F104:G104),0) &amp; "}.")," ") &amp; IFERROR(IF(H104=ROUND(I104+SUM(K104:L104),0)," "," Стр. 98, Гр. 6 [H104]  д.б. = [Окр(I104+Сум(K104:L104),0)] {" &amp; ROUND(I104+SUM(K104:L104),0) &amp; "}.")," ")</f>
        <v xml:space="preserve">  </v>
      </c>
    </row>
    <row r="105" spans="1:13" ht="30" customHeight="1" x14ac:dyDescent="0.25">
      <c r="A105" s="2" t="s">
        <v>229</v>
      </c>
      <c r="B105" s="1" t="s">
        <v>230</v>
      </c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3" t="str">
        <f>IFERROR(IF(C105=ROUND(D105+SUM(F105:G105),0)," "," Стр. 99, Гр. 1 [C105]  д.б. = [Окр(D105+Сум(F105:G105),0)] {" &amp; ROUND(D105+SUM(F105:G105),0) &amp; "}.")," ") &amp; IFERROR(IF(H105=ROUND(I105+SUM(K105:L105),0)," "," Стр. 99, Гр. 6 [H105]  д.б. = [Окр(I105+Сум(K105:L105),0)] {" &amp; ROUND(I105+SUM(K105:L105),0) &amp; "}.")," ")</f>
        <v xml:space="preserve">  </v>
      </c>
    </row>
    <row r="106" spans="1:13" ht="30" customHeight="1" x14ac:dyDescent="0.25">
      <c r="A106" s="2" t="s">
        <v>231</v>
      </c>
      <c r="B106" s="1" t="s">
        <v>232</v>
      </c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3" t="str">
        <f>IFERROR(IF(C106=ROUND(D106+SUM(F106:G106),0)," "," Стр. 100, Гр. 1 [C106]  д.б. = [Окр(D106+Сум(F106:G106),0)] {" &amp; ROUND(D106+SUM(F106:G106),0) &amp; "}.")," ") &amp; IFERROR(IF(H106=ROUND(I106+SUM(K106:L106),0)," "," Стр. 100, Гр. 6 [H106]  д.б. = [Окр(I106+Сум(K106:L106),0)] {" &amp; ROUND(I106+SUM(K106:L106),0) &amp; "}.")," ")</f>
        <v xml:space="preserve">  </v>
      </c>
    </row>
    <row r="107" spans="1:13" ht="30" customHeight="1" x14ac:dyDescent="0.25">
      <c r="A107" s="2" t="s">
        <v>233</v>
      </c>
      <c r="B107" s="1" t="s">
        <v>234</v>
      </c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3" t="str">
        <f>IFERROR(IF(C107=ROUND(D107+SUM(F107:G107),0)," "," Стр. 101, Гр. 1 [C107]  д.б. = [Окр(D107+Сум(F107:G107),0)] {" &amp; ROUND(D107+SUM(F107:G107),0) &amp; "}.")," ") &amp; IFERROR(IF(H107=ROUND(I107+SUM(K107:L107),0)," "," Стр. 101, Гр. 6 [H107]  д.б. = [Окр(I107+Сум(K107:L107),0)] {" &amp; ROUND(I107+SUM(K107:L107),0) &amp; "}.")," ")</f>
        <v xml:space="preserve">  </v>
      </c>
    </row>
    <row r="108" spans="1:13" ht="30" customHeight="1" x14ac:dyDescent="0.25">
      <c r="A108" s="2" t="s">
        <v>235</v>
      </c>
      <c r="B108" s="1" t="s">
        <v>236</v>
      </c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3" t="str">
        <f>IFERROR(IF(C108=ROUND(D108+SUM(F108:G108),0)," "," Стр. 102, Гр. 1 [C108]  д.б. = [Окр(D108+Сум(F108:G108),0)] {" &amp; ROUND(D108+SUM(F108:G108),0) &amp; "}.")," ") &amp; IFERROR(IF(H108=ROUND(I108+SUM(K108:L108),0)," "," Стр. 102, Гр. 6 [H108]  д.б. = [Окр(I108+Сум(K108:L108),0)] {" &amp; ROUND(I108+SUM(K108:L108),0) &amp; "}.")," ")</f>
        <v xml:space="preserve">  </v>
      </c>
    </row>
    <row r="109" spans="1:13" ht="30" customHeight="1" x14ac:dyDescent="0.25">
      <c r="A109" s="2" t="s">
        <v>237</v>
      </c>
      <c r="B109" s="1" t="s">
        <v>238</v>
      </c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3" t="str">
        <f>IFERROR(IF(C109=ROUND(D109+SUM(F109:G109),0)," "," Стр. 103, Гр. 1 [C109]  д.б. = [Окр(D109+Сум(F109:G109),0)] {" &amp; ROUND(D109+SUM(F109:G109),0) &amp; "}.")," ") &amp; IFERROR(IF(H109=ROUND(I109+SUM(K109:L109),0)," "," Стр. 103, Гр. 6 [H109]  д.б. = [Окр(I109+Сум(K109:L109),0)] {" &amp; ROUND(I109+SUM(K109:L109),0) &amp; "}.")," ")</f>
        <v xml:space="preserve">  </v>
      </c>
    </row>
    <row r="110" spans="1:13" ht="30" customHeight="1" x14ac:dyDescent="0.25">
      <c r="A110" s="2" t="s">
        <v>239</v>
      </c>
      <c r="B110" s="1" t="s">
        <v>240</v>
      </c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3" t="str">
        <f>IFERROR(IF(C110=ROUND(D110+SUM(F110:G110),0)," "," Стр. 104, Гр. 1 [C110]  д.б. = [Окр(D110+Сум(F110:G110),0)] {" &amp; ROUND(D110+SUM(F110:G110),0) &amp; "}.")," ") &amp; IFERROR(IF(H110=ROUND(I110+SUM(K110:L110),0)," "," Стр. 104, Гр. 6 [H110]  д.б. = [Окр(I110+Сум(K110:L110),0)] {" &amp; ROUND(I110+SUM(K110:L110),0) &amp; "}.")," ")</f>
        <v xml:space="preserve">  </v>
      </c>
    </row>
    <row r="111" spans="1:13" ht="30" customHeight="1" x14ac:dyDescent="0.25">
      <c r="A111" s="2" t="s">
        <v>241</v>
      </c>
      <c r="B111" s="1" t="s">
        <v>242</v>
      </c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3" t="str">
        <f>IFERROR(IF(C111=ROUND(D111+SUM(F111:G111),0)," "," Стр. 105, Гр. 1 [C111]  д.б. = [Окр(D111+Сум(F111:G111),0)] {" &amp; ROUND(D111+SUM(F111:G111),0) &amp; "}.")," ") &amp; IFERROR(IF(H111=ROUND(I111+SUM(K111:L111),0)," "," Стр. 105, Гр. 6 [H111]  д.б. = [Окр(I111+Сум(K111:L111),0)] {" &amp; ROUND(I111+SUM(K111:L111),0) &amp; "}.")," ")</f>
        <v xml:space="preserve">  </v>
      </c>
    </row>
    <row r="112" spans="1:13" ht="30" customHeight="1" x14ac:dyDescent="0.25">
      <c r="A112" s="2" t="s">
        <v>243</v>
      </c>
      <c r="B112" s="1" t="s">
        <v>244</v>
      </c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3" t="str">
        <f>IFERROR(IF(C112=ROUND(D112+SUM(F112:G112),0)," "," Стр. 106, Гр. 1 [C112]  д.б. = [Окр(D112+Сум(F112:G112),0)] {" &amp; ROUND(D112+SUM(F112:G112),0) &amp; "}.")," ") &amp; IFERROR(IF(H112=ROUND(I112+SUM(K112:L112),0)," "," Стр. 106, Гр. 6 [H112]  д.б. = [Окр(I112+Сум(K112:L112),0)] {" &amp; ROUND(I112+SUM(K112:L112),0) &amp; "}.")," ")</f>
        <v xml:space="preserve">  </v>
      </c>
    </row>
    <row r="113" spans="1:13" ht="30" customHeight="1" x14ac:dyDescent="0.25">
      <c r="A113" s="2" t="s">
        <v>245</v>
      </c>
      <c r="B113" s="1" t="s">
        <v>246</v>
      </c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3" t="str">
        <f>IFERROR(IF(C113=ROUND(D113+SUM(F113:G113),0)," "," Стр. 107, Гр. 1 [C113]  д.б. = [Окр(D113+Сум(F113:G113),0)] {" &amp; ROUND(D113+SUM(F113:G113),0) &amp; "}.")," ") &amp; IFERROR(IF(H113=ROUND(I113+SUM(K113:L113),0)," "," Стр. 107, Гр. 6 [H113]  д.б. = [Окр(I113+Сум(K113:L113),0)] {" &amp; ROUND(I113+SUM(K113:L113),0) &amp; "}.")," ")</f>
        <v xml:space="preserve">  </v>
      </c>
    </row>
    <row r="114" spans="1:13" ht="30" customHeight="1" x14ac:dyDescent="0.25">
      <c r="A114" s="2" t="s">
        <v>247</v>
      </c>
      <c r="B114" s="1" t="s">
        <v>248</v>
      </c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3" t="str">
        <f>IFERROR(IF(C114=ROUND(D114+SUM(F114:G114),0)," "," Стр. 108, Гр. 1 [C114]  д.б. = [Окр(D114+Сум(F114:G114),0)] {" &amp; ROUND(D114+SUM(F114:G114),0) &amp; "}.")," ") &amp; IFERROR(IF(H114=ROUND(I114+SUM(K114:L114),0)," "," Стр. 108, Гр. 6 [H114]  д.б. = [Окр(I114+Сум(K114:L114),0)] {" &amp; ROUND(I114+SUM(K114:L114),0) &amp; "}.")," ")</f>
        <v xml:space="preserve">  </v>
      </c>
    </row>
    <row r="115" spans="1:13" ht="30" customHeight="1" x14ac:dyDescent="0.25">
      <c r="A115" s="2" t="s">
        <v>249</v>
      </c>
      <c r="B115" s="1" t="s">
        <v>250</v>
      </c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3" t="str">
        <f>IFERROR(IF(C115=ROUND(D115+SUM(F115:G115),0)," "," Стр. 109, Гр. 1 [C115]  д.б. = [Окр(D115+Сум(F115:G115),0)] {" &amp; ROUND(D115+SUM(F115:G115),0) &amp; "}.")," ") &amp; IFERROR(IF(H115=ROUND(I115+SUM(K115:L115),0)," "," Стр. 109, Гр. 6 [H115]  д.б. = [Окр(I115+Сум(K115:L115),0)] {" &amp; ROUND(I115+SUM(K115:L115),0) &amp; "}.")," ")</f>
        <v xml:space="preserve">  </v>
      </c>
    </row>
    <row r="116" spans="1:13" ht="30" customHeight="1" x14ac:dyDescent="0.25">
      <c r="A116" s="2" t="s">
        <v>251</v>
      </c>
      <c r="B116" s="1" t="s">
        <v>252</v>
      </c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3" t="str">
        <f>IFERROR(IF(C116=ROUND(D116+SUM(F116:G116),0)," "," Стр. 110, Гр. 1 [C116]  д.б. = [Окр(D116+Сум(F116:G116),0)] {" &amp; ROUND(D116+SUM(F116:G116),0) &amp; "}.")," ") &amp; IFERROR(IF(H116=ROUND(I116+SUM(K116:L116),0)," "," Стр. 110, Гр. 6 [H116]  д.б. = [Окр(I116+Сум(K116:L116),0)] {" &amp; ROUND(I116+SUM(K116:L116),0) &amp; "}.")," ")</f>
        <v xml:space="preserve">  </v>
      </c>
    </row>
    <row r="117" spans="1:13" ht="30" customHeight="1" x14ac:dyDescent="0.25">
      <c r="A117" s="2" t="s">
        <v>253</v>
      </c>
      <c r="B117" s="1" t="s">
        <v>254</v>
      </c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3" t="str">
        <f>IFERROR(IF(C117=ROUND(D117+SUM(F117:G117),0)," "," Стр. 111, Гр. 1 [C117]  д.б. = [Окр(D117+Сум(F117:G117),0)] {" &amp; ROUND(D117+SUM(F117:G117),0) &amp; "}.")," ") &amp; IFERROR(IF(H117=ROUND(I117+SUM(K117:L117),0)," "," Стр. 111, Гр. 6 [H117]  д.б. = [Окр(I117+Сум(K117:L117),0)] {" &amp; ROUND(I117+SUM(K117:L117),0) &amp; "}.")," ")</f>
        <v xml:space="preserve">  </v>
      </c>
    </row>
    <row r="118" spans="1:13" ht="30" customHeight="1" x14ac:dyDescent="0.25">
      <c r="A118" s="2" t="s">
        <v>255</v>
      </c>
      <c r="B118" s="1" t="s">
        <v>256</v>
      </c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3" t="str">
        <f>IFERROR(IF(C118=ROUND(D118+SUM(F118:G118),0)," "," Стр. 112, Гр. 1 [C118]  д.б. = [Окр(D118+Сум(F118:G118),0)] {" &amp; ROUND(D118+SUM(F118:G118),0) &amp; "}.")," ") &amp; IFERROR(IF(H118=ROUND(I118+SUM(K118:L118),0)," "," Стр. 112, Гр. 6 [H118]  д.б. = [Окр(I118+Сум(K118:L118),0)] {" &amp; ROUND(I118+SUM(K118:L118),0) &amp; "}.")," ")</f>
        <v xml:space="preserve">  </v>
      </c>
    </row>
    <row r="119" spans="1:13" ht="30" customHeight="1" x14ac:dyDescent="0.25">
      <c r="A119" s="2" t="s">
        <v>257</v>
      </c>
      <c r="B119" s="1" t="s">
        <v>258</v>
      </c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3" t="str">
        <f>IFERROR(IF(C119=ROUND(D119+SUM(F119:G119),0)," "," Стр. 113, Гр. 1 [C119]  д.б. = [Окр(D119+Сум(F119:G119),0)] {" &amp; ROUND(D119+SUM(F119:G119),0) &amp; "}.")," ") &amp; IFERROR(IF(H119=ROUND(I119+SUM(K119:L119),0)," "," Стр. 113, Гр. 6 [H119]  д.б. = [Окр(I119+Сум(K119:L119),0)] {" &amp; ROUND(I119+SUM(K119:L119),0) &amp; "}.")," ")</f>
        <v xml:space="preserve">  </v>
      </c>
    </row>
    <row r="120" spans="1:13" ht="30" customHeight="1" x14ac:dyDescent="0.25">
      <c r="A120" s="2" t="s">
        <v>259</v>
      </c>
      <c r="B120" s="1" t="s">
        <v>260</v>
      </c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3" t="str">
        <f>IFERROR(IF(C120=ROUND(D120+SUM(F120:G120),0)," "," Стр. 114, Гр. 1 [C120]  д.б. = [Окр(D120+Сум(F120:G120),0)] {" &amp; ROUND(D120+SUM(F120:G120),0) &amp; "}.")," ") &amp; IFERROR(IF(H120=ROUND(I120+SUM(K120:L120),0)," "," Стр. 114, Гр. 6 [H120]  д.б. = [Окр(I120+Сум(K120:L120),0)] {" &amp; ROUND(I120+SUM(K120:L120),0) &amp; "}.")," ")</f>
        <v xml:space="preserve">  </v>
      </c>
    </row>
    <row r="121" spans="1:13" ht="30" customHeight="1" x14ac:dyDescent="0.25">
      <c r="A121" s="2" t="s">
        <v>261</v>
      </c>
      <c r="B121" s="1" t="s">
        <v>262</v>
      </c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3" t="str">
        <f>IFERROR(IF(C121=ROUND(D121+SUM(F121:G121),0)," "," Стр. 115, Гр. 1 [C121]  д.б. = [Окр(D121+Сум(F121:G121),0)] {" &amp; ROUND(D121+SUM(F121:G121),0) &amp; "}.")," ") &amp; IFERROR(IF(H121=ROUND(I121+SUM(K121:L121),0)," "," Стр. 115, Гр. 6 [H121]  д.б. = [Окр(I121+Сум(K121:L121),0)] {" &amp; ROUND(I121+SUM(K121:L121),0) &amp; "}.")," ")</f>
        <v xml:space="preserve">  </v>
      </c>
    </row>
    <row r="122" spans="1:13" ht="30" customHeight="1" x14ac:dyDescent="0.25">
      <c r="A122" s="2" t="s">
        <v>263</v>
      </c>
      <c r="B122" s="1" t="s">
        <v>264</v>
      </c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3" t="str">
        <f>IFERROR(IF(C122=ROUND(D122+SUM(F122:G122),0)," "," Стр. 116, Гр. 1 [C122]  д.б. = [Окр(D122+Сум(F122:G122),0)] {" &amp; ROUND(D122+SUM(F122:G122),0) &amp; "}.")," ") &amp; IFERROR(IF(H122=ROUND(I122+SUM(K122:L122),0)," "," Стр. 116, Гр. 6 [H122]  д.б. = [Окр(I122+Сум(K122:L122),0)] {" &amp; ROUND(I122+SUM(K122:L122),0) &amp; "}.")," ")</f>
        <v xml:space="preserve">  </v>
      </c>
    </row>
    <row r="123" spans="1:13" ht="30" customHeight="1" x14ac:dyDescent="0.25">
      <c r="A123" s="2" t="s">
        <v>265</v>
      </c>
      <c r="B123" s="1" t="s">
        <v>266</v>
      </c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3" t="str">
        <f>IFERROR(IF(C123=ROUND(D123+SUM(F123:G123),0)," "," Стр. 117, Гр. 1 [C123]  д.б. = [Окр(D123+Сум(F123:G123),0)] {" &amp; ROUND(D123+SUM(F123:G123),0) &amp; "}.")," ") &amp; IFERROR(IF(H123=ROUND(I123+SUM(K123:L123),0)," "," Стр. 117, Гр. 6 [H123]  д.б. = [Окр(I123+Сум(K123:L123),0)] {" &amp; ROUND(I123+SUM(K123:L123),0) &amp; "}.")," ")</f>
        <v xml:space="preserve">  </v>
      </c>
    </row>
    <row r="124" spans="1:13" ht="30" customHeight="1" x14ac:dyDescent="0.25">
      <c r="A124" s="2" t="s">
        <v>267</v>
      </c>
      <c r="B124" s="1" t="s">
        <v>268</v>
      </c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3" t="str">
        <f>IFERROR(IF(C124=ROUND(D124+SUM(F124:G124),0)," "," Стр. 118, Гр. 1 [C124]  д.б. = [Окр(D124+Сум(F124:G124),0)] {" &amp; ROUND(D124+SUM(F124:G124),0) &amp; "}.")," ") &amp; IFERROR(IF(H124=ROUND(I124+SUM(K124:L124),0)," "," Стр. 118, Гр. 6 [H124]  д.б. = [Окр(I124+Сум(K124:L124),0)] {" &amp; ROUND(I124+SUM(K124:L124),0) &amp; "}.")," ")</f>
        <v xml:space="preserve">  </v>
      </c>
    </row>
    <row r="125" spans="1:13" ht="30" customHeight="1" x14ac:dyDescent="0.25">
      <c r="A125" s="2" t="s">
        <v>269</v>
      </c>
      <c r="B125" s="1" t="s">
        <v>270</v>
      </c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3" t="str">
        <f>IFERROR(IF(C125=ROUND(D125+SUM(F125:G125),0)," "," Стр. 119, Гр. 1 [C125]  д.б. = [Окр(D125+Сум(F125:G125),0)] {" &amp; ROUND(D125+SUM(F125:G125),0) &amp; "}.")," ") &amp; IFERROR(IF(H125=ROUND(I125+SUM(K125:L125),0)," "," Стр. 119, Гр. 6 [H125]  д.б. = [Окр(I125+Сум(K125:L125),0)] {" &amp; ROUND(I125+SUM(K125:L125),0) &amp; "}.")," ")</f>
        <v xml:space="preserve">  </v>
      </c>
    </row>
    <row r="126" spans="1:13" ht="30" customHeight="1" x14ac:dyDescent="0.25">
      <c r="A126" s="2" t="s">
        <v>271</v>
      </c>
      <c r="B126" s="1" t="s">
        <v>272</v>
      </c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3" t="str">
        <f>IFERROR(IF(C126=ROUND(D126+SUM(F126:G126),0)," "," Стр. 120, Гр. 1 [C126]  д.б. = [Окр(D126+Сум(F126:G126),0)] {" &amp; ROUND(D126+SUM(F126:G126),0) &amp; "}.")," ") &amp; IFERROR(IF(H126=ROUND(I126+SUM(K126:L126),0)," "," Стр. 120, Гр. 6 [H126]  д.б. = [Окр(I126+Сум(K126:L126),0)] {" &amp; ROUND(I126+SUM(K126:L126),0) &amp; "}.")," ")</f>
        <v xml:space="preserve">  </v>
      </c>
    </row>
    <row r="127" spans="1:13" ht="30" customHeight="1" x14ac:dyDescent="0.25">
      <c r="A127" s="2" t="s">
        <v>273</v>
      </c>
      <c r="B127" s="1" t="s">
        <v>274</v>
      </c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3" t="str">
        <f>IFERROR(IF(C127=ROUND(D127+SUM(F127:G127),0)," "," Стр. 121, Гр. 1 [C127]  д.б. = [Окр(D127+Сум(F127:G127),0)] {" &amp; ROUND(D127+SUM(F127:G127),0) &amp; "}.")," ") &amp; IFERROR(IF(H127=ROUND(I127+SUM(K127:L127),0)," "," Стр. 121, Гр. 6 [H127]  д.б. = [Окр(I127+Сум(K127:L127),0)] {" &amp; ROUND(I127+SUM(K127:L127),0) &amp; "}.")," ")</f>
        <v xml:space="preserve">  </v>
      </c>
    </row>
    <row r="128" spans="1:13" ht="30" customHeight="1" x14ac:dyDescent="0.25">
      <c r="A128" s="2" t="s">
        <v>275</v>
      </c>
      <c r="B128" s="1" t="s">
        <v>276</v>
      </c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3" t="str">
        <f>IFERROR(IF(C128=ROUND(D128+SUM(F128:G128),0)," "," Стр. 122, Гр. 1 [C128]  д.б. = [Окр(D128+Сум(F128:G128),0)] {" &amp; ROUND(D128+SUM(F128:G128),0) &amp; "}.")," ") &amp; IFERROR(IF(H128=ROUND(I128+SUM(K128:L128),0)," "," Стр. 122, Гр. 6 [H128]  д.б. = [Окр(I128+Сум(K128:L128),0)] {" &amp; ROUND(I128+SUM(K128:L128),0) &amp; "}.")," ")</f>
        <v xml:space="preserve">  </v>
      </c>
    </row>
    <row r="129" spans="1:13" ht="30" customHeight="1" x14ac:dyDescent="0.25">
      <c r="A129" s="2" t="s">
        <v>277</v>
      </c>
      <c r="B129" s="1" t="s">
        <v>278</v>
      </c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3" t="str">
        <f>IFERROR(IF(C129=ROUND(D129+SUM(F129:G129),0)," "," Стр. 123, Гр. 1 [C129]  д.б. = [Окр(D129+Сум(F129:G129),0)] {" &amp; ROUND(D129+SUM(F129:G129),0) &amp; "}.")," ") &amp; IFERROR(IF(H129=ROUND(I129+SUM(K129:L129),0)," "," Стр. 123, Гр. 6 [H129]  д.б. = [Окр(I129+Сум(K129:L129),0)] {" &amp; ROUND(I129+SUM(K129:L129),0) &amp; "}.")," ")</f>
        <v xml:space="preserve">  </v>
      </c>
    </row>
    <row r="130" spans="1:13" ht="30" customHeight="1" x14ac:dyDescent="0.25">
      <c r="A130" s="2" t="s">
        <v>279</v>
      </c>
      <c r="B130" s="1" t="s">
        <v>280</v>
      </c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3" t="str">
        <f>IFERROR(IF(C130=ROUND(D130+SUM(F130:G130),0)," "," Стр. 124, Гр. 1 [C130]  д.б. = [Окр(D130+Сум(F130:G130),0)] {" &amp; ROUND(D130+SUM(F130:G130),0) &amp; "}.")," ") &amp; IFERROR(IF(H130=ROUND(I130+SUM(K130:L130),0)," "," Стр. 124, Гр. 6 [H130]  д.б. = [Окр(I130+Сум(K130:L130),0)] {" &amp; ROUND(I130+SUM(K130:L130),0) &amp; "}.")," ")</f>
        <v xml:space="preserve">  </v>
      </c>
    </row>
    <row r="131" spans="1:13" ht="30" customHeight="1" x14ac:dyDescent="0.25">
      <c r="A131" s="2" t="s">
        <v>281</v>
      </c>
      <c r="B131" s="1" t="s">
        <v>282</v>
      </c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3" t="str">
        <f>IFERROR(IF(C131=ROUND(D131+SUM(F131:G131),0)," "," Стр. 125, Гр. 1 [C131]  д.б. = [Окр(D131+Сум(F131:G131),0)] {" &amp; ROUND(D131+SUM(F131:G131),0) &amp; "}.")," ") &amp; IFERROR(IF(H131=ROUND(I131+SUM(K131:L131),0)," "," Стр. 125, Гр. 6 [H131]  д.б. = [Окр(I131+Сум(K131:L131),0)] {" &amp; ROUND(I131+SUM(K131:L131),0) &amp; "}.")," ")</f>
        <v xml:space="preserve">  </v>
      </c>
    </row>
    <row r="132" spans="1:13" ht="30" customHeight="1" x14ac:dyDescent="0.25">
      <c r="A132" s="2" t="s">
        <v>283</v>
      </c>
      <c r="B132" s="1" t="s">
        <v>284</v>
      </c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3" t="str">
        <f>IFERROR(IF(C132=ROUND(D132+SUM(F132:G132),0)," "," Стр. 126, Гр. 1 [C132]  д.б. = [Окр(D132+Сум(F132:G132),0)] {" &amp; ROUND(D132+SUM(F132:G132),0) &amp; "}.")," ") &amp; IFERROR(IF(H132=ROUND(I132+SUM(K132:L132),0)," "," Стр. 126, Гр. 6 [H132]  д.б. = [Окр(I132+Сум(K132:L132),0)] {" &amp; ROUND(I132+SUM(K132:L132),0) &amp; "}.")," ")</f>
        <v xml:space="preserve">  </v>
      </c>
    </row>
    <row r="133" spans="1:13" ht="30" customHeight="1" x14ac:dyDescent="0.25">
      <c r="A133" s="2" t="s">
        <v>285</v>
      </c>
      <c r="B133" s="1" t="s">
        <v>286</v>
      </c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3" t="str">
        <f>IFERROR(IF(C133=ROUND(D133+SUM(F133:G133),0)," "," Стр. 127, Гр. 1 [C133]  д.б. = [Окр(D133+Сум(F133:G133),0)] {" &amp; ROUND(D133+SUM(F133:G133),0) &amp; "}.")," ") &amp; IFERROR(IF(H133=ROUND(I133+SUM(K133:L133),0)," "," Стр. 127, Гр. 6 [H133]  д.б. = [Окр(I133+Сум(K133:L133),0)] {" &amp; ROUND(I133+SUM(K133:L133),0) &amp; "}.")," ")</f>
        <v xml:space="preserve">  </v>
      </c>
    </row>
    <row r="134" spans="1:13" ht="30" customHeight="1" x14ac:dyDescent="0.25">
      <c r="A134" s="2" t="s">
        <v>287</v>
      </c>
      <c r="B134" s="1" t="s">
        <v>288</v>
      </c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3" t="str">
        <f>IFERROR(IF(C134=ROUND(D134+SUM(F134:G134),0)," "," Стр. 128, Гр. 1 [C134]  д.б. = [Окр(D134+Сум(F134:G134),0)] {" &amp; ROUND(D134+SUM(F134:G134),0) &amp; "}.")," ") &amp; IFERROR(IF(H134=ROUND(I134+SUM(K134:L134),0)," "," Стр. 128, Гр. 6 [H134]  д.б. = [Окр(I134+Сум(K134:L134),0)] {" &amp; ROUND(I134+SUM(K134:L134),0) &amp; "}.")," ")</f>
        <v xml:space="preserve">  </v>
      </c>
    </row>
    <row r="135" spans="1:13" ht="30" customHeight="1" x14ac:dyDescent="0.25">
      <c r="A135" s="2" t="s">
        <v>289</v>
      </c>
      <c r="B135" s="1" t="s">
        <v>290</v>
      </c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3" t="str">
        <f>IFERROR(IF(C135=ROUND(D135+SUM(F135:G135),0)," "," Стр. 129, Гр. 1 [C135]  д.б. = [Окр(D135+Сум(F135:G135),0)] {" &amp; ROUND(D135+SUM(F135:G135),0) &amp; "}.")," ") &amp; IFERROR(IF(H135=ROUND(I135+SUM(K135:L135),0)," "," Стр. 129, Гр. 6 [H135]  д.б. = [Окр(I135+Сум(K135:L135),0)] {" &amp; ROUND(I135+SUM(K135:L135),0) &amp; "}.")," ")</f>
        <v xml:space="preserve">  </v>
      </c>
    </row>
    <row r="136" spans="1:13" ht="30" customHeight="1" x14ac:dyDescent="0.25">
      <c r="A136" s="2" t="s">
        <v>291</v>
      </c>
      <c r="B136" s="1" t="s">
        <v>292</v>
      </c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3" t="str">
        <f>IFERROR(IF(C136=ROUND(D136+SUM(F136:G136),0)," "," Стр. 130, Гр. 1 [C136]  д.б. = [Окр(D136+Сум(F136:G136),0)] {" &amp; ROUND(D136+SUM(F136:G136),0) &amp; "}.")," ") &amp; IFERROR(IF(H136=ROUND(I136+SUM(K136:L136),0)," "," Стр. 130, Гр. 6 [H136]  д.б. = [Окр(I136+Сум(K136:L136),0)] {" &amp; ROUND(I136+SUM(K136:L136),0) &amp; "}.")," ")</f>
        <v xml:space="preserve">  </v>
      </c>
    </row>
    <row r="137" spans="1:13" ht="30" customHeight="1" x14ac:dyDescent="0.25">
      <c r="A137" s="2" t="s">
        <v>293</v>
      </c>
      <c r="B137" s="1" t="s">
        <v>294</v>
      </c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3" t="str">
        <f>IFERROR(IF(C137=ROUND(D137+SUM(F137:G137),0)," "," Стр. 131, Гр. 1 [C137]  д.б. = [Окр(D137+Сум(F137:G137),0)] {" &amp; ROUND(D137+SUM(F137:G137),0) &amp; "}.")," ") &amp; IFERROR(IF(H137=ROUND(I137+SUM(K137:L137),0)," "," Стр. 131, Гр. 6 [H137]  д.б. = [Окр(I137+Сум(K137:L137),0)] {" &amp; ROUND(I137+SUM(K137:L137),0) &amp; "}.")," ")</f>
        <v xml:space="preserve">  </v>
      </c>
    </row>
    <row r="138" spans="1:13" ht="30" customHeight="1" x14ac:dyDescent="0.25">
      <c r="A138" s="2" t="s">
        <v>295</v>
      </c>
      <c r="B138" s="1" t="s">
        <v>296</v>
      </c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3" t="str">
        <f>IFERROR(IF(C138=ROUND(D138+SUM(F138:G138),0)," "," Стр. 132, Гр. 1 [C138]  д.б. = [Окр(D138+Сум(F138:G138),0)] {" &amp; ROUND(D138+SUM(F138:G138),0) &amp; "}.")," ") &amp; IFERROR(IF(H138=ROUND(I138+SUM(K138:L138),0)," "," Стр. 132, Гр. 6 [H138]  д.б. = [Окр(I138+Сум(K138:L138),0)] {" &amp; ROUND(I138+SUM(K138:L138),0) &amp; "}.")," ")</f>
        <v xml:space="preserve">  </v>
      </c>
    </row>
    <row r="139" spans="1:13" ht="30" customHeight="1" x14ac:dyDescent="0.25">
      <c r="A139" s="2" t="s">
        <v>297</v>
      </c>
      <c r="B139" s="1" t="s">
        <v>298</v>
      </c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3" t="str">
        <f>IFERROR(IF(C139=ROUND(D139+SUM(F139:G139),0)," "," Стр. 133, Гр. 1 [C139]  д.б. = [Окр(D139+Сум(F139:G139),0)] {" &amp; ROUND(D139+SUM(F139:G139),0) &amp; "}.")," ") &amp; IFERROR(IF(H139=ROUND(I139+SUM(K139:L139),0)," "," Стр. 133, Гр. 6 [H139]  д.б. = [Окр(I139+Сум(K139:L139),0)] {" &amp; ROUND(I139+SUM(K139:L139),0) &amp; "}.")," ")</f>
        <v xml:space="preserve">  </v>
      </c>
    </row>
    <row r="140" spans="1:13" ht="30" customHeight="1" x14ac:dyDescent="0.25">
      <c r="A140" s="2" t="s">
        <v>299</v>
      </c>
      <c r="B140" s="1" t="s">
        <v>300</v>
      </c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3" t="str">
        <f>IFERROR(IF(C140=ROUND(D140+SUM(F140:G140),0)," "," Стр. 134, Гр. 1 [C140]  д.б. = [Окр(D140+Сум(F140:G140),0)] {" &amp; ROUND(D140+SUM(F140:G140),0) &amp; "}.")," ") &amp; IFERROR(IF(H140=ROUND(I140+SUM(K140:L140),0)," "," Стр. 134, Гр. 6 [H140]  д.б. = [Окр(I140+Сум(K140:L140),0)] {" &amp; ROUND(I140+SUM(K140:L140),0) &amp; "}.")," ")</f>
        <v xml:space="preserve">  </v>
      </c>
    </row>
    <row r="141" spans="1:13" ht="30" customHeight="1" x14ac:dyDescent="0.25">
      <c r="A141" s="2" t="s">
        <v>301</v>
      </c>
      <c r="B141" s="1" t="s">
        <v>302</v>
      </c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3" t="str">
        <f>IFERROR(IF(C141=ROUND(D141+SUM(F141:G141),0)," "," Стр. 135, Гр. 1 [C141]  д.б. = [Окр(D141+Сум(F141:G141),0)] {" &amp; ROUND(D141+SUM(F141:G141),0) &amp; "}.")," ") &amp; IFERROR(IF(H141=ROUND(I141+SUM(K141:L141),0)," "," Стр. 135, Гр. 6 [H141]  д.б. = [Окр(I141+Сум(K141:L141),0)] {" &amp; ROUND(I141+SUM(K141:L141),0) &amp; "}.")," ")</f>
        <v xml:space="preserve">  </v>
      </c>
    </row>
    <row r="142" spans="1:13" ht="30" customHeight="1" x14ac:dyDescent="0.25">
      <c r="A142" s="2" t="s">
        <v>303</v>
      </c>
      <c r="B142" s="1" t="s">
        <v>304</v>
      </c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3" t="str">
        <f>IFERROR(IF(C142=ROUND(D142+SUM(F142:G142),0)," "," Стр. 136, Гр. 1 [C142]  д.б. = [Окр(D142+Сум(F142:G142),0)] {" &amp; ROUND(D142+SUM(F142:G142),0) &amp; "}.")," ") &amp; IFERROR(IF(H142=ROUND(I142+SUM(K142:L142),0)," "," Стр. 136, Гр. 6 [H142]  д.б. = [Окр(I142+Сум(K142:L142),0)] {" &amp; ROUND(I142+SUM(K142:L142),0) &amp; "}.")," ")</f>
        <v xml:space="preserve">  </v>
      </c>
    </row>
    <row r="143" spans="1:13" ht="30" customHeight="1" x14ac:dyDescent="0.25">
      <c r="A143" s="2" t="s">
        <v>305</v>
      </c>
      <c r="B143" s="1" t="s">
        <v>306</v>
      </c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3" t="str">
        <f>IFERROR(IF(C143=ROUND(D143+SUM(F143:G143),0)," "," Стр. 137, Гр. 1 [C143]  д.б. = [Окр(D143+Сум(F143:G143),0)] {" &amp; ROUND(D143+SUM(F143:G143),0) &amp; "}.")," ") &amp; IFERROR(IF(H143=ROUND(I143+SUM(K143:L143),0)," "," Стр. 137, Гр. 6 [H143]  д.б. = [Окр(I143+Сум(K143:L143),0)] {" &amp; ROUND(I143+SUM(K143:L143),0) &amp; "}.")," ")</f>
        <v xml:space="preserve">  </v>
      </c>
    </row>
    <row r="144" spans="1:13" ht="30" customHeight="1" x14ac:dyDescent="0.25">
      <c r="A144" s="2" t="s">
        <v>307</v>
      </c>
      <c r="B144" s="1" t="s">
        <v>308</v>
      </c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3" t="str">
        <f>IFERROR(IF(C144=ROUND(D144+SUM(F144:G144),0)," "," Стр. 138, Гр. 1 [C144]  д.б. = [Окр(D144+Сум(F144:G144),0)] {" &amp; ROUND(D144+SUM(F144:G144),0) &amp; "}.")," ") &amp; IFERROR(IF(H144=ROUND(I144+SUM(K144:L144),0)," "," Стр. 138, Гр. 6 [H144]  д.б. = [Окр(I144+Сум(K144:L144),0)] {" &amp; ROUND(I144+SUM(K144:L144),0) &amp; "}.")," ")</f>
        <v xml:space="preserve">  </v>
      </c>
    </row>
    <row r="145" spans="1:13" ht="30" customHeight="1" x14ac:dyDescent="0.25">
      <c r="A145" s="2" t="s">
        <v>309</v>
      </c>
      <c r="B145" s="1" t="s">
        <v>310</v>
      </c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3" t="str">
        <f>IFERROR(IF(C145=ROUND(D145+SUM(F145:G145),0)," "," Стр. 139, Гр. 1 [C145]  д.б. = [Окр(D145+Сум(F145:G145),0)] {" &amp; ROUND(D145+SUM(F145:G145),0) &amp; "}.")," ") &amp; IFERROR(IF(H145=ROUND(I145+SUM(K145:L145),0)," "," Стр. 139, Гр. 6 [H145]  д.б. = [Окр(I145+Сум(K145:L145),0)] {" &amp; ROUND(I145+SUM(K145:L145),0) &amp; "}.")," ")</f>
        <v xml:space="preserve">  </v>
      </c>
    </row>
    <row r="146" spans="1:13" ht="30" customHeight="1" x14ac:dyDescent="0.25">
      <c r="A146" s="2" t="s">
        <v>311</v>
      </c>
      <c r="B146" s="1" t="s">
        <v>312</v>
      </c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3" t="str">
        <f>IFERROR(IF(C146=ROUND(D146+SUM(F146:G146),0)," "," Стр. 140, Гр. 1 [C146]  д.б. = [Окр(D146+Сум(F146:G146),0)] {" &amp; ROUND(D146+SUM(F146:G146),0) &amp; "}.")," ") &amp; IFERROR(IF(H146=ROUND(I146+SUM(K146:L146),0)," "," Стр. 140, Гр. 6 [H146]  д.б. = [Окр(I146+Сум(K146:L146),0)] {" &amp; ROUND(I146+SUM(K146:L146),0) &amp; "}.")," ")</f>
        <v xml:space="preserve">  </v>
      </c>
    </row>
    <row r="147" spans="1:13" ht="30" customHeight="1" x14ac:dyDescent="0.25">
      <c r="A147" s="2" t="s">
        <v>313</v>
      </c>
      <c r="B147" s="1" t="s">
        <v>314</v>
      </c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3" t="str">
        <f>IFERROR(IF(C147=ROUND(D147+SUM(F147:G147),0)," "," Стр. 141, Гр. 1 [C147]  д.б. = [Окр(D147+Сум(F147:G147),0)] {" &amp; ROUND(D147+SUM(F147:G147),0) &amp; "}.")," ") &amp; IFERROR(IF(H147=ROUND(I147+SUM(K147:L147),0)," "," Стр. 141, Гр. 6 [H147]  д.б. = [Окр(I147+Сум(K147:L147),0)] {" &amp; ROUND(I147+SUM(K147:L147),0) &amp; "}.")," ")</f>
        <v xml:space="preserve">  </v>
      </c>
    </row>
    <row r="148" spans="1:13" ht="30" customHeight="1" x14ac:dyDescent="0.25">
      <c r="A148" s="2" t="s">
        <v>315</v>
      </c>
      <c r="B148" s="1" t="s">
        <v>316</v>
      </c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3" t="str">
        <f>IFERROR(IF(C148=ROUND(D148+SUM(F148:G148),0)," "," Стр. 142, Гр. 1 [C148]  д.б. = [Окр(D148+Сум(F148:G148),0)] {" &amp; ROUND(D148+SUM(F148:G148),0) &amp; "}.")," ") &amp; IFERROR(IF(H148=ROUND(I148+SUM(K148:L148),0)," "," Стр. 142, Гр. 6 [H148]  д.б. = [Окр(I148+Сум(K148:L148),0)] {" &amp; ROUND(I148+SUM(K148:L148),0) &amp; "}.")," ")</f>
        <v xml:space="preserve">  </v>
      </c>
    </row>
    <row r="149" spans="1:13" ht="30" customHeight="1" x14ac:dyDescent="0.25">
      <c r="A149" s="2" t="s">
        <v>317</v>
      </c>
      <c r="B149" s="1" t="s">
        <v>318</v>
      </c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3" t="str">
        <f>IFERROR(IF(C149=ROUND(D149+SUM(F149:G149),0)," "," Стр. 143, Гр. 1 [C149]  д.б. = [Окр(D149+Сум(F149:G149),0)] {" &amp; ROUND(D149+SUM(F149:G149),0) &amp; "}.")," ") &amp; IFERROR(IF(H149=ROUND(I149+SUM(K149:L149),0)," "," Стр. 143, Гр. 6 [H149]  д.б. = [Окр(I149+Сум(K149:L149),0)] {" &amp; ROUND(I149+SUM(K149:L149),0) &amp; "}.")," ")</f>
        <v xml:space="preserve">  </v>
      </c>
    </row>
    <row r="150" spans="1:13" ht="30" customHeight="1" x14ac:dyDescent="0.25">
      <c r="A150" s="2" t="s">
        <v>319</v>
      </c>
      <c r="B150" s="1" t="s">
        <v>320</v>
      </c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3" t="str">
        <f>IFERROR(IF(C150=ROUND(D150+SUM(F150:G150),0)," "," Стр. 144, Гр. 1 [C150]  д.б. = [Окр(D150+Сум(F150:G150),0)] {" &amp; ROUND(D150+SUM(F150:G150),0) &amp; "}.")," ") &amp; IFERROR(IF(H150=ROUND(I150+SUM(K150:L150),0)," "," Стр. 144, Гр. 6 [H150]  д.б. = [Окр(I150+Сум(K150:L150),0)] {" &amp; ROUND(I150+SUM(K150:L150),0) &amp; "}.")," ")</f>
        <v xml:space="preserve">  </v>
      </c>
    </row>
    <row r="151" spans="1:13" ht="30" customHeight="1" x14ac:dyDescent="0.25">
      <c r="A151" s="2" t="s">
        <v>321</v>
      </c>
      <c r="B151" s="1" t="s">
        <v>322</v>
      </c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3" t="str">
        <f>IFERROR(IF(C151=ROUND(D151+SUM(F151:G151),0)," "," Стр. 145, Гр. 1 [C151]  д.б. = [Окр(D151+Сум(F151:G151),0)] {" &amp; ROUND(D151+SUM(F151:G151),0) &amp; "}.")," ") &amp; IFERROR(IF(H151=ROUND(I151+SUM(K151:L151),0)," "," Стр. 145, Гр. 6 [H151]  д.б. = [Окр(I151+Сум(K151:L151),0)] {" &amp; ROUND(I151+SUM(K151:L151),0) &amp; "}.")," ")</f>
        <v xml:space="preserve">  </v>
      </c>
    </row>
    <row r="152" spans="1:13" ht="30" customHeight="1" x14ac:dyDescent="0.25">
      <c r="A152" s="2" t="s">
        <v>323</v>
      </c>
      <c r="B152" s="1" t="s">
        <v>324</v>
      </c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3" t="str">
        <f>IFERROR(IF(C152=ROUND(D152+SUM(F152:G152),0)," "," Стр. 146, Гр. 1 [C152]  д.б. = [Окр(D152+Сум(F152:G152),0)] {" &amp; ROUND(D152+SUM(F152:G152),0) &amp; "}.")," ") &amp; IFERROR(IF(H152=ROUND(I152+SUM(K152:L152),0)," "," Стр. 146, Гр. 6 [H152]  д.б. = [Окр(I152+Сум(K152:L152),0)] {" &amp; ROUND(I152+SUM(K152:L152),0) &amp; "}.")," ")</f>
        <v xml:space="preserve">  </v>
      </c>
    </row>
    <row r="153" spans="1:13" ht="30" customHeight="1" x14ac:dyDescent="0.25">
      <c r="A153" s="2" t="s">
        <v>325</v>
      </c>
      <c r="B153" s="1" t="s">
        <v>326</v>
      </c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3" t="str">
        <f>IFERROR(IF(C153=ROUND(D153+SUM(F153:G153),0)," "," Стр. 147, Гр. 1 [C153]  д.б. = [Окр(D153+Сум(F153:G153),0)] {" &amp; ROUND(D153+SUM(F153:G153),0) &amp; "}.")," ") &amp; IFERROR(IF(H153=ROUND(I153+SUM(K153:L153),0)," "," Стр. 147, Гр. 6 [H153]  д.б. = [Окр(I153+Сум(K153:L153),0)] {" &amp; ROUND(I153+SUM(K153:L153),0) &amp; "}.")," ")</f>
        <v xml:space="preserve">  </v>
      </c>
    </row>
    <row r="154" spans="1:13" ht="30" customHeight="1" x14ac:dyDescent="0.25">
      <c r="A154" s="2" t="s">
        <v>327</v>
      </c>
      <c r="B154" s="1" t="s">
        <v>328</v>
      </c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3" t="str">
        <f>IFERROR(IF(C154=ROUND(D154+SUM(F154:G154),0)," "," Стр. 148, Гр. 1 [C154]  д.б. = [Окр(D154+Сум(F154:G154),0)] {" &amp; ROUND(D154+SUM(F154:G154),0) &amp; "}.")," ") &amp; IFERROR(IF(H154=ROUND(I154+SUM(K154:L154),0)," "," Стр. 148, Гр. 6 [H154]  д.б. = [Окр(I154+Сум(K154:L154),0)] {" &amp; ROUND(I154+SUM(K154:L154),0) &amp; "}.")," ")</f>
        <v xml:space="preserve">  </v>
      </c>
    </row>
    <row r="155" spans="1:13" ht="30" customHeight="1" x14ac:dyDescent="0.25">
      <c r="A155" s="2" t="s">
        <v>329</v>
      </c>
      <c r="B155" s="1" t="s">
        <v>330</v>
      </c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3" t="str">
        <f>IFERROR(IF(C155=ROUND(D155+SUM(F155:G155),0)," "," Стр. 149, Гр. 1 [C155]  д.б. = [Окр(D155+Сум(F155:G155),0)] {" &amp; ROUND(D155+SUM(F155:G155),0) &amp; "}.")," ") &amp; IFERROR(IF(H155=ROUND(I155+SUM(K155:L155),0)," "," Стр. 149, Гр. 6 [H155]  д.б. = [Окр(I155+Сум(K155:L155),0)] {" &amp; ROUND(I155+SUM(K155:L155),0) &amp; "}.")," ")</f>
        <v xml:space="preserve">  </v>
      </c>
    </row>
    <row r="156" spans="1:13" ht="30" customHeight="1" x14ac:dyDescent="0.25">
      <c r="A156" s="2" t="s">
        <v>331</v>
      </c>
      <c r="B156" s="1" t="s">
        <v>332</v>
      </c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3" t="str">
        <f>IFERROR(IF(C156=ROUND(D156+SUM(F156:G156),0)," "," Стр. 150, Гр. 1 [C156]  д.б. = [Окр(D156+Сум(F156:G156),0)] {" &amp; ROUND(D156+SUM(F156:G156),0) &amp; "}.")," ") &amp; IFERROR(IF(H156=ROUND(I156+SUM(K156:L156),0)," "," Стр. 150, Гр. 6 [H156]  д.б. = [Окр(I156+Сум(K156:L156),0)] {" &amp; ROUND(I156+SUM(K156:L156),0) &amp; "}.")," ")</f>
        <v xml:space="preserve">  </v>
      </c>
    </row>
    <row r="157" spans="1:13" ht="30" customHeight="1" x14ac:dyDescent="0.25">
      <c r="A157" s="2" t="s">
        <v>333</v>
      </c>
      <c r="B157" s="1" t="s">
        <v>334</v>
      </c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3" t="str">
        <f>IFERROR(IF(C157=ROUND(D157+SUM(F157:G157),0)," "," Стр. 151, Гр. 1 [C157]  д.б. = [Окр(D157+Сум(F157:G157),0)] {" &amp; ROUND(D157+SUM(F157:G157),0) &amp; "}.")," ") &amp; IFERROR(IF(H157=ROUND(I157+SUM(K157:L157),0)," "," Стр. 151, Гр. 6 [H157]  д.б. = [Окр(I157+Сум(K157:L157),0)] {" &amp; ROUND(I157+SUM(K157:L157),0) &amp; "}.")," ")</f>
        <v xml:space="preserve">  </v>
      </c>
    </row>
    <row r="158" spans="1:13" ht="30" customHeight="1" x14ac:dyDescent="0.25">
      <c r="A158" s="2" t="s">
        <v>335</v>
      </c>
      <c r="B158" s="1" t="s">
        <v>336</v>
      </c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3" t="str">
        <f>IFERROR(IF(C158=ROUND(D158+SUM(F158:G158),0)," "," Стр. 152, Гр. 1 [C158]  д.б. = [Окр(D158+Сум(F158:G158),0)] {" &amp; ROUND(D158+SUM(F158:G158),0) &amp; "}.")," ") &amp; IFERROR(IF(H158=ROUND(I158+SUM(K158:L158),0)," "," Стр. 152, Гр. 6 [H158]  д.б. = [Окр(I158+Сум(K158:L158),0)] {" &amp; ROUND(I158+SUM(K158:L158),0) &amp; "}.")," ")</f>
        <v xml:space="preserve">  </v>
      </c>
    </row>
    <row r="159" spans="1:13" ht="30" customHeight="1" x14ac:dyDescent="0.25">
      <c r="A159" s="2" t="s">
        <v>337</v>
      </c>
      <c r="B159" s="1" t="s">
        <v>338</v>
      </c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3" t="str">
        <f>IFERROR(IF(C159=ROUND(D159+SUM(F159:G159),0)," "," Стр. 153, Гр. 1 [C159]  д.б. = [Окр(D159+Сум(F159:G159),0)] {" &amp; ROUND(D159+SUM(F159:G159),0) &amp; "}.")," ") &amp; IFERROR(IF(H159=ROUND(I159+SUM(K159:L159),0)," "," Стр. 153, Гр. 6 [H159]  д.б. = [Окр(I159+Сум(K159:L159),0)] {" &amp; ROUND(I159+SUM(K159:L159),0) &amp; "}.")," ")</f>
        <v xml:space="preserve">  </v>
      </c>
    </row>
    <row r="160" spans="1:13" ht="30" customHeight="1" x14ac:dyDescent="0.25">
      <c r="A160" s="2" t="s">
        <v>339</v>
      </c>
      <c r="B160" s="1" t="s">
        <v>340</v>
      </c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3" t="str">
        <f>IFERROR(IF(C160=ROUND(D160+SUM(F160:G160),0)," "," Стр. 154, Гр. 1 [C160]  д.б. = [Окр(D160+Сум(F160:G160),0)] {" &amp; ROUND(D160+SUM(F160:G160),0) &amp; "}.")," ") &amp; IFERROR(IF(H160=ROUND(I160+SUM(K160:L160),0)," "," Стр. 154, Гр. 6 [H160]  д.б. = [Окр(I160+Сум(K160:L160),0)] {" &amp; ROUND(I160+SUM(K160:L160),0) &amp; "}.")," ")</f>
        <v xml:space="preserve">  </v>
      </c>
    </row>
    <row r="161" spans="1:13" ht="30" customHeight="1" x14ac:dyDescent="0.25">
      <c r="A161" s="2" t="s">
        <v>341</v>
      </c>
      <c r="B161" s="1" t="s">
        <v>342</v>
      </c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3" t="str">
        <f>IFERROR(IF(C161=ROUND(D161+SUM(F161:G161),0)," "," Стр. 155, Гр. 1 [C161]  д.б. = [Окр(D161+Сум(F161:G161),0)] {" &amp; ROUND(D161+SUM(F161:G161),0) &amp; "}.")," ") &amp; IFERROR(IF(H161=ROUND(I161+SUM(K161:L161),0)," "," Стр. 155, Гр. 6 [H161]  д.б. = [Окр(I161+Сум(K161:L161),0)] {" &amp; ROUND(I161+SUM(K161:L161),0) &amp; "}.")," ")</f>
        <v xml:space="preserve">  </v>
      </c>
    </row>
    <row r="162" spans="1:13" ht="30" customHeight="1" x14ac:dyDescent="0.25">
      <c r="A162" s="2" t="s">
        <v>343</v>
      </c>
      <c r="B162" s="1" t="s">
        <v>344</v>
      </c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3" t="str">
        <f>IFERROR(IF(C162=ROUND(D162+SUM(F162:G162),0)," "," Стр. 156, Гр. 1 [C162]  д.б. = [Окр(D162+Сум(F162:G162),0)] {" &amp; ROUND(D162+SUM(F162:G162),0) &amp; "}.")," ") &amp; IFERROR(IF(H162=ROUND(I162+SUM(K162:L162),0)," "," Стр. 156, Гр. 6 [H162]  д.б. = [Окр(I162+Сум(K162:L162),0)] {" &amp; ROUND(I162+SUM(K162:L162),0) &amp; "}.")," ")</f>
        <v xml:space="preserve">  </v>
      </c>
    </row>
    <row r="163" spans="1:13" ht="30" customHeight="1" x14ac:dyDescent="0.25">
      <c r="A163" s="2" t="s">
        <v>345</v>
      </c>
      <c r="B163" s="1" t="s">
        <v>346</v>
      </c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3" t="str">
        <f>IFERROR(IF(C163=ROUND(D163+SUM(F163:G163),0)," "," Стр. 157, Гр. 1 [C163]  д.б. = [Окр(D163+Сум(F163:G163),0)] {" &amp; ROUND(D163+SUM(F163:G163),0) &amp; "}.")," ") &amp; IFERROR(IF(H163=ROUND(I163+SUM(K163:L163),0)," "," Стр. 157, Гр. 6 [H163]  д.б. = [Окр(I163+Сум(K163:L163),0)] {" &amp; ROUND(I163+SUM(K163:L163),0) &amp; "}.")," ")</f>
        <v xml:space="preserve">  </v>
      </c>
    </row>
    <row r="164" spans="1:13" ht="30" customHeight="1" x14ac:dyDescent="0.25">
      <c r="A164" s="2" t="s">
        <v>347</v>
      </c>
      <c r="B164" s="1" t="s">
        <v>348</v>
      </c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3" t="str">
        <f>IFERROR(IF(C164=ROUND(D164+SUM(F164:G164),0)," "," Стр. 158, Гр. 1 [C164]  д.б. = [Окр(D164+Сум(F164:G164),0)] {" &amp; ROUND(D164+SUM(F164:G164),0) &amp; "}.")," ") &amp; IFERROR(IF(H164=ROUND(I164+SUM(K164:L164),0)," "," Стр. 158, Гр. 6 [H164]  д.б. = [Окр(I164+Сум(K164:L164),0)] {" &amp; ROUND(I164+SUM(K164:L164),0) &amp; "}.")," ")</f>
        <v xml:space="preserve">  </v>
      </c>
    </row>
    <row r="165" spans="1:13" ht="30" customHeight="1" x14ac:dyDescent="0.25">
      <c r="A165" s="2" t="s">
        <v>349</v>
      </c>
      <c r="B165" s="1" t="s">
        <v>350</v>
      </c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3" t="str">
        <f>IFERROR(IF(C165=ROUND(D165+SUM(F165:G165),0)," "," Стр. 159, Гр. 1 [C165]  д.б. = [Окр(D165+Сум(F165:G165),0)] {" &amp; ROUND(D165+SUM(F165:G165),0) &amp; "}.")," ") &amp; IFERROR(IF(H165=ROUND(I165+SUM(K165:L165),0)," "," Стр. 159, Гр. 6 [H165]  д.б. = [Окр(I165+Сум(K165:L165),0)] {" &amp; ROUND(I165+SUM(K165:L165),0) &amp; "}.")," ")</f>
        <v xml:space="preserve">  </v>
      </c>
    </row>
    <row r="166" spans="1:13" ht="30" customHeight="1" x14ac:dyDescent="0.25">
      <c r="A166" s="2" t="s">
        <v>351</v>
      </c>
      <c r="B166" s="1" t="s">
        <v>352</v>
      </c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3" t="str">
        <f>IFERROR(IF(C166=ROUND(D166+SUM(F166:G166),0)," "," Стр. 160, Гр. 1 [C166]  д.б. = [Окр(D166+Сум(F166:G166),0)] {" &amp; ROUND(D166+SUM(F166:G166),0) &amp; "}.")," ") &amp; IFERROR(IF(H166=ROUND(I166+SUM(K166:L166),0)," "," Стр. 160, Гр. 6 [H166]  д.б. = [Окр(I166+Сум(K166:L166),0)] {" &amp; ROUND(I166+SUM(K166:L166),0) &amp; "}.")," ")</f>
        <v xml:space="preserve">  </v>
      </c>
    </row>
    <row r="167" spans="1:13" ht="30" customHeight="1" x14ac:dyDescent="0.25">
      <c r="A167" s="2" t="s">
        <v>353</v>
      </c>
      <c r="B167" s="1" t="s">
        <v>354</v>
      </c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3" t="str">
        <f>IFERROR(IF(C167=ROUND(D167+SUM(F167:G167),0)," "," Стр. 161, Гр. 1 [C167]  д.б. = [Окр(D167+Сум(F167:G167),0)] {" &amp; ROUND(D167+SUM(F167:G167),0) &amp; "}.")," ") &amp; IFERROR(IF(H167=ROUND(I167+SUM(K167:L167),0)," "," Стр. 161, Гр. 6 [H167]  д.б. = [Окр(I167+Сум(K167:L167),0)] {" &amp; ROUND(I167+SUM(K167:L167),0) &amp; "}.")," ")</f>
        <v xml:space="preserve">  </v>
      </c>
    </row>
    <row r="168" spans="1:13" ht="30" customHeight="1" x14ac:dyDescent="0.25">
      <c r="A168" s="2" t="s">
        <v>355</v>
      </c>
      <c r="B168" s="1" t="s">
        <v>356</v>
      </c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3" t="str">
        <f>IFERROR(IF(C168=ROUND(D168+SUM(F168:G168),0)," "," Стр. 162, Гр. 1 [C168]  д.б. = [Окр(D168+Сум(F168:G168),0)] {" &amp; ROUND(D168+SUM(F168:G168),0) &amp; "}.")," ") &amp; IFERROR(IF(H168=ROUND(I168+SUM(K168:L168),0)," "," Стр. 162, Гр. 6 [H168]  д.б. = [Окр(I168+Сум(K168:L168),0)] {" &amp; ROUND(I168+SUM(K168:L168),0) &amp; "}.")," ")</f>
        <v xml:space="preserve">  </v>
      </c>
    </row>
    <row r="169" spans="1:13" ht="30" customHeight="1" x14ac:dyDescent="0.25">
      <c r="A169" s="2" t="s">
        <v>357</v>
      </c>
      <c r="B169" s="1" t="s">
        <v>358</v>
      </c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3" t="str">
        <f>IFERROR(IF(C169=ROUND(D169+SUM(F169:G169),0)," "," Стр. 163, Гр. 1 [C169]  д.б. = [Окр(D169+Сум(F169:G169),0)] {" &amp; ROUND(D169+SUM(F169:G169),0) &amp; "}.")," ") &amp; IFERROR(IF(H169=ROUND(I169+SUM(K169:L169),0)," "," Стр. 163, Гр. 6 [H169]  д.б. = [Окр(I169+Сум(K169:L169),0)] {" &amp; ROUND(I169+SUM(K169:L169),0) &amp; "}.")," ")</f>
        <v xml:space="preserve">  </v>
      </c>
    </row>
    <row r="170" spans="1:13" ht="30" customHeight="1" x14ac:dyDescent="0.25">
      <c r="A170" s="2" t="s">
        <v>359</v>
      </c>
      <c r="B170" s="1" t="s">
        <v>360</v>
      </c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3" t="str">
        <f>IFERROR(IF(C170=ROUND(D170+SUM(F170:G170),0)," "," Стр. 164, Гр. 1 [C170]  д.б. = [Окр(D170+Сум(F170:G170),0)] {" &amp; ROUND(D170+SUM(F170:G170),0) &amp; "}.")," ") &amp; IFERROR(IF(H170=ROUND(I170+SUM(K170:L170),0)," "," Стр. 164, Гр. 6 [H170]  д.б. = [Окр(I170+Сум(K170:L170),0)] {" &amp; ROUND(I170+SUM(K170:L170),0) &amp; "}.")," ")</f>
        <v xml:space="preserve">  </v>
      </c>
    </row>
    <row r="171" spans="1:13" ht="30" customHeight="1" x14ac:dyDescent="0.25">
      <c r="A171" s="2" t="s">
        <v>361</v>
      </c>
      <c r="B171" s="1" t="s">
        <v>362</v>
      </c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3" t="str">
        <f>IFERROR(IF(C171=ROUND(D171+SUM(F171:G171),0)," "," Стр. 165, Гр. 1 [C171]  д.б. = [Окр(D171+Сум(F171:G171),0)] {" &amp; ROUND(D171+SUM(F171:G171),0) &amp; "}.")," ") &amp; IFERROR(IF(H171=ROUND(I171+SUM(K171:L171),0)," "," Стр. 165, Гр. 6 [H171]  д.б. = [Окр(I171+Сум(K171:L171),0)] {" &amp; ROUND(I171+SUM(K171:L171),0) &amp; "}.")," ")</f>
        <v xml:space="preserve">  </v>
      </c>
    </row>
    <row r="172" spans="1:13" ht="30" customHeight="1" x14ac:dyDescent="0.25">
      <c r="A172" s="2" t="s">
        <v>363</v>
      </c>
      <c r="B172" s="1" t="s">
        <v>364</v>
      </c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3" t="str">
        <f>IFERROR(IF(C172=ROUND(D172+SUM(F172:G172),0)," "," Стр. 166, Гр. 1 [C172]  д.б. = [Окр(D172+Сум(F172:G172),0)] {" &amp; ROUND(D172+SUM(F172:G172),0) &amp; "}.")," ") &amp; IFERROR(IF(H172=ROUND(I172+SUM(K172:L172),0)," "," Стр. 166, Гр. 6 [H172]  д.б. = [Окр(I172+Сум(K172:L172),0)] {" &amp; ROUND(I172+SUM(K172:L172),0) &amp; "}.")," ")</f>
        <v xml:space="preserve">  </v>
      </c>
    </row>
    <row r="173" spans="1:13" ht="30" customHeight="1" x14ac:dyDescent="0.25">
      <c r="A173" s="2" t="s">
        <v>365</v>
      </c>
      <c r="B173" s="1" t="s">
        <v>366</v>
      </c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3" t="str">
        <f>IFERROR(IF(C173=ROUND(D173+SUM(F173:G173),0)," "," Стр. 167, Гр. 1 [C173]  д.б. = [Окр(D173+Сум(F173:G173),0)] {" &amp; ROUND(D173+SUM(F173:G173),0) &amp; "}.")," ") &amp; IFERROR(IF(H173=ROUND(I173+SUM(K173:L173),0)," "," Стр. 167, Гр. 6 [H173]  д.б. = [Окр(I173+Сум(K173:L173),0)] {" &amp; ROUND(I173+SUM(K173:L173),0) &amp; "}.")," ")</f>
        <v xml:space="preserve">  </v>
      </c>
    </row>
    <row r="174" spans="1:13" ht="30" customHeight="1" x14ac:dyDescent="0.25">
      <c r="A174" s="2" t="s">
        <v>367</v>
      </c>
      <c r="B174" s="1" t="s">
        <v>368</v>
      </c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3" t="str">
        <f>IFERROR(IF(C174=ROUND(D174+SUM(F174:G174),0)," "," Стр. 168, Гр. 1 [C174]  д.б. = [Окр(D174+Сум(F174:G174),0)] {" &amp; ROUND(D174+SUM(F174:G174),0) &amp; "}.")," ") &amp; IFERROR(IF(H174=ROUND(I174+SUM(K174:L174),0)," "," Стр. 168, Гр. 6 [H174]  д.б. = [Окр(I174+Сум(K174:L174),0)] {" &amp; ROUND(I174+SUM(K174:L174),0) &amp; "}.")," ")</f>
        <v xml:space="preserve">  </v>
      </c>
    </row>
    <row r="175" spans="1:13" ht="30" customHeight="1" x14ac:dyDescent="0.25">
      <c r="A175" s="2" t="s">
        <v>369</v>
      </c>
      <c r="B175" s="1" t="s">
        <v>370</v>
      </c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3" t="str">
        <f>IFERROR(IF(C175=ROUND(D175+SUM(F175:G175),0)," "," Стр. 169, Гр. 1 [C175]  д.б. = [Окр(D175+Сум(F175:G175),0)] {" &amp; ROUND(D175+SUM(F175:G175),0) &amp; "}.")," ") &amp; IFERROR(IF(H175=ROUND(I175+SUM(K175:L175),0)," "," Стр. 169, Гр. 6 [H175]  д.б. = [Окр(I175+Сум(K175:L175),0)] {" &amp; ROUND(I175+SUM(K175:L175),0) &amp; "}.")," ")</f>
        <v xml:space="preserve">  </v>
      </c>
    </row>
    <row r="176" spans="1:13" ht="30" customHeight="1" x14ac:dyDescent="0.25">
      <c r="A176" s="2" t="s">
        <v>371</v>
      </c>
      <c r="B176" s="1" t="s">
        <v>372</v>
      </c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3" t="str">
        <f>IFERROR(IF(C176=ROUND(D176+SUM(F176:G176),0)," "," Стр. 170, Гр. 1 [C176]  д.б. = [Окр(D176+Сум(F176:G176),0)] {" &amp; ROUND(D176+SUM(F176:G176),0) &amp; "}.")," ") &amp; IFERROR(IF(H176=ROUND(I176+SUM(K176:L176),0)," "," Стр. 170, Гр. 6 [H176]  д.б. = [Окр(I176+Сум(K176:L176),0)] {" &amp; ROUND(I176+SUM(K176:L176),0) &amp; "}.")," ")</f>
        <v xml:space="preserve">  </v>
      </c>
    </row>
    <row r="177" spans="1:13" ht="30" customHeight="1" x14ac:dyDescent="0.25">
      <c r="A177" s="2" t="s">
        <v>373</v>
      </c>
      <c r="B177" s="1" t="s">
        <v>374</v>
      </c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3" t="str">
        <f>IFERROR(IF(C177=ROUND(D177+SUM(F177:G177),0)," "," Стр. 171, Гр. 1 [C177]  д.б. = [Окр(D177+Сум(F177:G177),0)] {" &amp; ROUND(D177+SUM(F177:G177),0) &amp; "}.")," ") &amp; IFERROR(IF(H177=ROUND(I177+SUM(K177:L177),0)," "," Стр. 171, Гр. 6 [H177]  д.б. = [Окр(I177+Сум(K177:L177),0)] {" &amp; ROUND(I177+SUM(K177:L177),0) &amp; "}.")," ")</f>
        <v xml:space="preserve">  </v>
      </c>
    </row>
    <row r="178" spans="1:13" ht="30" customHeight="1" x14ac:dyDescent="0.25">
      <c r="A178" s="2" t="s">
        <v>375</v>
      </c>
      <c r="B178" s="1" t="s">
        <v>376</v>
      </c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3" t="str">
        <f>IFERROR(IF(C178=ROUND(D178+SUM(F178:G178),0)," "," Стр. 172, Гр. 1 [C178]  д.б. = [Окр(D178+Сум(F178:G178),0)] {" &amp; ROUND(D178+SUM(F178:G178),0) &amp; "}.")," ") &amp; IFERROR(IF(H178=ROUND(I178+SUM(K178:L178),0)," "," Стр. 172, Гр. 6 [H178]  д.б. = [Окр(I178+Сум(K178:L178),0)] {" &amp; ROUND(I178+SUM(K178:L178),0) &amp; "}.")," ")</f>
        <v xml:space="preserve">  </v>
      </c>
    </row>
    <row r="179" spans="1:13" ht="30" customHeight="1" x14ac:dyDescent="0.25">
      <c r="A179" s="2" t="s">
        <v>377</v>
      </c>
      <c r="B179" s="1" t="s">
        <v>378</v>
      </c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3" t="str">
        <f>IFERROR(IF(C179=ROUND(D179+SUM(F179:G179),0)," "," Стр. 173, Гр. 1 [C179]  д.б. = [Окр(D179+Сум(F179:G179),0)] {" &amp; ROUND(D179+SUM(F179:G179),0) &amp; "}.")," ") &amp; IFERROR(IF(H179=ROUND(I179+SUM(K179:L179),0)," "," Стр. 173, Гр. 6 [H179]  д.б. = [Окр(I179+Сум(K179:L179),0)] {" &amp; ROUND(I179+SUM(K179:L179),0) &amp; "}.")," ")</f>
        <v xml:space="preserve">  </v>
      </c>
    </row>
    <row r="180" spans="1:13" ht="30" customHeight="1" x14ac:dyDescent="0.25">
      <c r="A180" s="2" t="s">
        <v>379</v>
      </c>
      <c r="B180" s="1" t="s">
        <v>380</v>
      </c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3" t="str">
        <f>IFERROR(IF(C180=ROUND(D180+SUM(F180:G180),0)," "," Стр. 174, Гр. 1 [C180]  д.б. = [Окр(D180+Сум(F180:G180),0)] {" &amp; ROUND(D180+SUM(F180:G180),0) &amp; "}.")," ") &amp; IFERROR(IF(H180=ROUND(I180+SUM(K180:L180),0)," "," Стр. 174, Гр. 6 [H180]  д.б. = [Окр(I180+Сум(K180:L180),0)] {" &amp; ROUND(I180+SUM(K180:L180),0) &amp; "}.")," ")</f>
        <v xml:space="preserve">  </v>
      </c>
    </row>
    <row r="181" spans="1:13" ht="30" customHeight="1" x14ac:dyDescent="0.25">
      <c r="A181" s="2" t="s">
        <v>381</v>
      </c>
      <c r="B181" s="1" t="s">
        <v>382</v>
      </c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3" t="str">
        <f>IFERROR(IF(C181=ROUND(D181+SUM(F181:G181),0)," "," Стр. 175, Гр. 1 [C181]  д.б. = [Окр(D181+Сум(F181:G181),0)] {" &amp; ROUND(D181+SUM(F181:G181),0) &amp; "}.")," ") &amp; IFERROR(IF(H181=ROUND(I181+SUM(K181:L181),0)," "," Стр. 175, Гр. 6 [H181]  д.б. = [Окр(I181+Сум(K181:L181),0)] {" &amp; ROUND(I181+SUM(K181:L181),0) &amp; "}.")," ")</f>
        <v xml:space="preserve">  </v>
      </c>
    </row>
    <row r="182" spans="1:13" ht="30" customHeight="1" x14ac:dyDescent="0.25">
      <c r="A182" s="2" t="s">
        <v>383</v>
      </c>
      <c r="B182" s="1" t="s">
        <v>384</v>
      </c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3" t="str">
        <f>IFERROR(IF(C182=ROUND(D182+SUM(F182:G182),0)," "," Стр. 176, Гр. 1 [C182]  д.б. = [Окр(D182+Сум(F182:G182),0)] {" &amp; ROUND(D182+SUM(F182:G182),0) &amp; "}.")," ") &amp; IFERROR(IF(H182=ROUND(I182+SUM(K182:L182),0)," "," Стр. 176, Гр. 6 [H182]  д.б. = [Окр(I182+Сум(K182:L182),0)] {" &amp; ROUND(I182+SUM(K182:L182),0) &amp; "}.")," ")</f>
        <v xml:space="preserve">  </v>
      </c>
    </row>
    <row r="183" spans="1:13" ht="30" customHeight="1" x14ac:dyDescent="0.25">
      <c r="A183" s="2" t="s">
        <v>385</v>
      </c>
      <c r="B183" s="1" t="s">
        <v>386</v>
      </c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3" t="str">
        <f>IFERROR(IF(C183=ROUND(D183+SUM(F183:G183),0)," "," Стр. 177, Гр. 1 [C183]  д.б. = [Окр(D183+Сум(F183:G183),0)] {" &amp; ROUND(D183+SUM(F183:G183),0) &amp; "}.")," ") &amp; IFERROR(IF(H183=ROUND(I183+SUM(K183:L183),0)," "," Стр. 177, Гр. 6 [H183]  д.б. = [Окр(I183+Сум(K183:L183),0)] {" &amp; ROUND(I183+SUM(K183:L183),0) &amp; "}.")," ")</f>
        <v xml:space="preserve">  </v>
      </c>
    </row>
    <row r="184" spans="1:13" ht="30" customHeight="1" x14ac:dyDescent="0.25">
      <c r="A184" s="2" t="s">
        <v>387</v>
      </c>
      <c r="B184" s="1" t="s">
        <v>388</v>
      </c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3" t="str">
        <f>IFERROR(IF(C184=ROUND(D184+SUM(F184:G184),0)," "," Стр. 178, Гр. 1 [C184]  д.б. = [Окр(D184+Сум(F184:G184),0)] {" &amp; ROUND(D184+SUM(F184:G184),0) &amp; "}.")," ") &amp; IFERROR(IF(H184=ROUND(I184+SUM(K184:L184),0)," "," Стр. 178, Гр. 6 [H184]  д.б. = [Окр(I184+Сум(K184:L184),0)] {" &amp; ROUND(I184+SUM(K184:L184),0) &amp; "}.")," ")</f>
        <v xml:space="preserve">  </v>
      </c>
    </row>
    <row r="185" spans="1:13" ht="30" customHeight="1" x14ac:dyDescent="0.25">
      <c r="A185" s="2" t="s">
        <v>389</v>
      </c>
      <c r="B185" s="1" t="s">
        <v>390</v>
      </c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3" t="str">
        <f>IFERROR(IF(C185=ROUND(D185+SUM(F185:G185),0)," "," Стр. 179, Гр. 1 [C185]  д.б. = [Окр(D185+Сум(F185:G185),0)] {" &amp; ROUND(D185+SUM(F185:G185),0) &amp; "}.")," ") &amp; IFERROR(IF(H185=ROUND(I185+SUM(K185:L185),0)," "," Стр. 179, Гр. 6 [H185]  д.б. = [Окр(I185+Сум(K185:L185),0)] {" &amp; ROUND(I185+SUM(K185:L185),0) &amp; "}.")," ")</f>
        <v xml:space="preserve">  </v>
      </c>
    </row>
    <row r="186" spans="1:13" ht="30" customHeight="1" x14ac:dyDescent="0.25">
      <c r="A186" s="2" t="s">
        <v>391</v>
      </c>
      <c r="B186" s="1" t="s">
        <v>392</v>
      </c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3" t="str">
        <f>IFERROR(IF(C186=ROUND(D186+SUM(F186:G186),0)," "," Стр. 180, Гр. 1 [C186]  д.б. = [Окр(D186+Сум(F186:G186),0)] {" &amp; ROUND(D186+SUM(F186:G186),0) &amp; "}.")," ") &amp; IFERROR(IF(H186=ROUND(I186+SUM(K186:L186),0)," "," Стр. 180, Гр. 6 [H186]  д.б. = [Окр(I186+Сум(K186:L186),0)] {" &amp; ROUND(I186+SUM(K186:L186),0) &amp; "}.")," ")</f>
        <v xml:space="preserve">  </v>
      </c>
    </row>
    <row r="187" spans="1:13" ht="30" customHeight="1" x14ac:dyDescent="0.25">
      <c r="A187" s="2" t="s">
        <v>393</v>
      </c>
      <c r="B187" s="1" t="s">
        <v>394</v>
      </c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3" t="str">
        <f>IFERROR(IF(C187=ROUND(D187+SUM(F187:G187),0)," "," Стр. 181, Гр. 1 [C187]  д.б. = [Окр(D187+Сум(F187:G187),0)] {" &amp; ROUND(D187+SUM(F187:G187),0) &amp; "}.")," ") &amp; IFERROR(IF(H187=ROUND(I187+SUM(K187:L187),0)," "," Стр. 181, Гр. 6 [H187]  д.б. = [Окр(I187+Сум(K187:L187),0)] {" &amp; ROUND(I187+SUM(K187:L187),0) &amp; "}.")," ")</f>
        <v xml:space="preserve">  </v>
      </c>
    </row>
    <row r="188" spans="1:13" ht="30" customHeight="1" x14ac:dyDescent="0.25">
      <c r="A188" s="2" t="s">
        <v>395</v>
      </c>
      <c r="B188" s="1" t="s">
        <v>396</v>
      </c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3" t="str">
        <f>IFERROR(IF(C188=ROUND(D188+SUM(F188:G188),0)," "," Стр. 182, Гр. 1 [C188]  д.б. = [Окр(D188+Сум(F188:G188),0)] {" &amp; ROUND(D188+SUM(F188:G188),0) &amp; "}.")," ") &amp; IFERROR(IF(H188=ROUND(I188+SUM(K188:L188),0)," "," Стр. 182, Гр. 6 [H188]  д.б. = [Окр(I188+Сум(K188:L188),0)] {" &amp; ROUND(I188+SUM(K188:L188),0) &amp; "}.")," ")</f>
        <v xml:space="preserve">  </v>
      </c>
    </row>
    <row r="189" spans="1:13" ht="30" customHeight="1" x14ac:dyDescent="0.25">
      <c r="A189" s="2" t="s">
        <v>397</v>
      </c>
      <c r="B189" s="1" t="s">
        <v>398</v>
      </c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3" t="str">
        <f>IFERROR(IF(C189=ROUND(D189+SUM(F189:G189),0)," "," Стр. 183, Гр. 1 [C189]  д.б. = [Окр(D189+Сум(F189:G189),0)] {" &amp; ROUND(D189+SUM(F189:G189),0) &amp; "}.")," ") &amp; IFERROR(IF(H189=ROUND(I189+SUM(K189:L189),0)," "," Стр. 183, Гр. 6 [H189]  д.б. = [Окр(I189+Сум(K189:L189),0)] {" &amp; ROUND(I189+SUM(K189:L189),0) &amp; "}.")," ")</f>
        <v xml:space="preserve">  </v>
      </c>
    </row>
    <row r="190" spans="1:13" ht="30" customHeight="1" x14ac:dyDescent="0.25">
      <c r="A190" s="2" t="s">
        <v>399</v>
      </c>
      <c r="B190" s="1" t="s">
        <v>400</v>
      </c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3" t="str">
        <f>IFERROR(IF(C190=ROUND(D190+SUM(F190:G190),0)," "," Стр. 184, Гр. 1 [C190]  д.б. = [Окр(D190+Сум(F190:G190),0)] {" &amp; ROUND(D190+SUM(F190:G190),0) &amp; "}.")," ") &amp; IFERROR(IF(H190=ROUND(I190+SUM(K190:L190),0)," "," Стр. 184, Гр. 6 [H190]  д.б. = [Окр(I190+Сум(K190:L190),0)] {" &amp; ROUND(I190+SUM(K190:L190),0) &amp; "}.")," ")</f>
        <v xml:space="preserve">  </v>
      </c>
    </row>
    <row r="191" spans="1:13" ht="30" customHeight="1" x14ac:dyDescent="0.25">
      <c r="A191" s="2" t="s">
        <v>401</v>
      </c>
      <c r="B191" s="1" t="s">
        <v>402</v>
      </c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3" t="str">
        <f>IFERROR(IF(C191=ROUND(D191+SUM(F191:G191),0)," "," Стр. 185, Гр. 1 [C191]  д.б. = [Окр(D191+Сум(F191:G191),0)] {" &amp; ROUND(D191+SUM(F191:G191),0) &amp; "}.")," ") &amp; IFERROR(IF(H191=ROUND(I191+SUM(K191:L191),0)," "," Стр. 185, Гр. 6 [H191]  д.б. = [Окр(I191+Сум(K191:L191),0)] {" &amp; ROUND(I191+SUM(K191:L191),0) &amp; "}.")," ")</f>
        <v xml:space="preserve">  </v>
      </c>
    </row>
    <row r="192" spans="1:13" ht="30" customHeight="1" x14ac:dyDescent="0.25">
      <c r="A192" s="2" t="s">
        <v>403</v>
      </c>
      <c r="B192" s="1" t="s">
        <v>404</v>
      </c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3" t="str">
        <f>IFERROR(IF(C192=ROUND(D192+SUM(F192:G192),0)," "," Стр. 186, Гр. 1 [C192]  д.б. = [Окр(D192+Сум(F192:G192),0)] {" &amp; ROUND(D192+SUM(F192:G192),0) &amp; "}.")," ") &amp; IFERROR(IF(H192=ROUND(I192+SUM(K192:L192),0)," "," Стр. 186, Гр. 6 [H192]  д.б. = [Окр(I192+Сум(K192:L192),0)] {" &amp; ROUND(I192+SUM(K192:L192),0) &amp; "}.")," ")</f>
        <v xml:space="preserve">  </v>
      </c>
    </row>
    <row r="193" spans="1:13" ht="30" customHeight="1" x14ac:dyDescent="0.25">
      <c r="A193" s="2" t="s">
        <v>405</v>
      </c>
      <c r="B193" s="1" t="s">
        <v>406</v>
      </c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3" t="str">
        <f>IFERROR(IF(C193=ROUND(D193+SUM(F193:G193),0)," "," Стр. 187, Гр. 1 [C193]  д.б. = [Окр(D193+Сум(F193:G193),0)] {" &amp; ROUND(D193+SUM(F193:G193),0) &amp; "}.")," ") &amp; IFERROR(IF(H193=ROUND(I193+SUM(K193:L193),0)," "," Стр. 187, Гр. 6 [H193]  д.б. = [Окр(I193+Сум(K193:L193),0)] {" &amp; ROUND(I193+SUM(K193:L193),0) &amp; "}.")," ")</f>
        <v xml:space="preserve">  </v>
      </c>
    </row>
    <row r="194" spans="1:13" ht="30" customHeight="1" x14ac:dyDescent="0.25">
      <c r="A194" s="2" t="s">
        <v>407</v>
      </c>
      <c r="B194" s="1" t="s">
        <v>408</v>
      </c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3" t="str">
        <f>IFERROR(IF(C194=ROUND(D194+SUM(F194:G194),0)," "," Стр. 188, Гр. 1 [C194]  д.б. = [Окр(D194+Сум(F194:G194),0)] {" &amp; ROUND(D194+SUM(F194:G194),0) &amp; "}.")," ") &amp; IFERROR(IF(H194=ROUND(I194+SUM(K194:L194),0)," "," Стр. 188, Гр. 6 [H194]  д.б. = [Окр(I194+Сум(K194:L194),0)] {" &amp; ROUND(I194+SUM(K194:L194),0) &amp; "}.")," ")</f>
        <v xml:space="preserve">  </v>
      </c>
    </row>
    <row r="195" spans="1:13" ht="30" customHeight="1" x14ac:dyDescent="0.25">
      <c r="A195" s="2" t="s">
        <v>409</v>
      </c>
      <c r="B195" s="1" t="s">
        <v>410</v>
      </c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3" t="str">
        <f>IFERROR(IF(C195=ROUND(D195+SUM(F195:G195),0)," "," Стр. 189, Гр. 1 [C195]  д.б. = [Окр(D195+Сум(F195:G195),0)] {" &amp; ROUND(D195+SUM(F195:G195),0) &amp; "}.")," ") &amp; IFERROR(IF(H195=ROUND(I195+SUM(K195:L195),0)," "," Стр. 189, Гр. 6 [H195]  д.б. = [Окр(I195+Сум(K195:L195),0)] {" &amp; ROUND(I195+SUM(K195:L195),0) &amp; "}.")," ")</f>
        <v xml:space="preserve">  </v>
      </c>
    </row>
    <row r="196" spans="1:13" ht="30" customHeight="1" x14ac:dyDescent="0.25">
      <c r="A196" s="2" t="s">
        <v>411</v>
      </c>
      <c r="B196" s="1" t="s">
        <v>412</v>
      </c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3" t="str">
        <f>IFERROR(IF(C196=ROUND(D196+SUM(F196:G196),0)," "," Стр. 190, Гр. 1 [C196]  д.б. = [Окр(D196+Сум(F196:G196),0)] {" &amp; ROUND(D196+SUM(F196:G196),0) &amp; "}.")," ") &amp; IFERROR(IF(H196=ROUND(I196+SUM(K196:L196),0)," "," Стр. 190, Гр. 6 [H196]  д.б. = [Окр(I196+Сум(K196:L196),0)] {" &amp; ROUND(I196+SUM(K196:L196),0) &amp; "}.")," ")</f>
        <v xml:space="preserve">  </v>
      </c>
    </row>
    <row r="197" spans="1:13" ht="30" customHeight="1" x14ac:dyDescent="0.25">
      <c r="A197" s="2" t="s">
        <v>413</v>
      </c>
      <c r="B197" s="1" t="s">
        <v>414</v>
      </c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3" t="str">
        <f>IFERROR(IF(C197=ROUND(D197+SUM(F197:G197),0)," "," Стр. 191, Гр. 1 [C197]  д.б. = [Окр(D197+Сум(F197:G197),0)] {" &amp; ROUND(D197+SUM(F197:G197),0) &amp; "}.")," ") &amp; IFERROR(IF(H197=ROUND(I197+SUM(K197:L197),0)," "," Стр. 191, Гр. 6 [H197]  д.б. = [Окр(I197+Сум(K197:L197),0)] {" &amp; ROUND(I197+SUM(K197:L197),0) &amp; "}.")," ")</f>
        <v xml:space="preserve">  </v>
      </c>
    </row>
    <row r="198" spans="1:13" ht="30" customHeight="1" x14ac:dyDescent="0.25">
      <c r="A198" s="2" t="s">
        <v>415</v>
      </c>
      <c r="B198" s="1" t="s">
        <v>416</v>
      </c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3" t="str">
        <f>IFERROR(IF(C198=ROUND(D198+SUM(F198:G198),0)," "," Стр. 192, Гр. 1 [C198]  д.б. = [Окр(D198+Сум(F198:G198),0)] {" &amp; ROUND(D198+SUM(F198:G198),0) &amp; "}.")," ") &amp; IFERROR(IF(H198=ROUND(I198+SUM(K198:L198),0)," "," Стр. 192, Гр. 6 [H198]  д.б. = [Окр(I198+Сум(K198:L198),0)] {" &amp; ROUND(I198+SUM(K198:L198),0) &amp; "}.")," ")</f>
        <v xml:space="preserve">  </v>
      </c>
    </row>
    <row r="199" spans="1:13" ht="30" customHeight="1" x14ac:dyDescent="0.25">
      <c r="A199" s="2" t="s">
        <v>417</v>
      </c>
      <c r="B199" s="1" t="s">
        <v>418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3" t="str">
        <f>IFERROR(IF(C199=ROUND(D199+SUM(F199:G199),0)," "," Стр. 193, Гр. 1 [C199]  д.б. = [Окр(D199+Сум(F199:G199),0)] {" &amp; ROUND(D199+SUM(F199:G199),0) &amp; "}.")," ") &amp; IFERROR(IF(H199=ROUND(I199+SUM(K199:L199),0)," "," Стр. 193, Гр. 6 [H199]  д.б. = [Окр(I199+Сум(K199:L199),0)] {" &amp; ROUND(I199+SUM(K199:L199),0) &amp; "}.")," ")</f>
        <v xml:space="preserve">  </v>
      </c>
    </row>
    <row r="200" spans="1:13" ht="30" customHeight="1" x14ac:dyDescent="0.25">
      <c r="A200" s="2" t="s">
        <v>419</v>
      </c>
      <c r="B200" s="1" t="s">
        <v>420</v>
      </c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3" t="str">
        <f>IFERROR(IF(C200=ROUND(D200+SUM(F200:G200),0)," "," Стр. 194, Гр. 1 [C200]  д.б. = [Окр(D200+Сум(F200:G200),0)] {" &amp; ROUND(D200+SUM(F200:G200),0) &amp; "}.")," ") &amp; IFERROR(IF(H200=ROUND(I200+SUM(K200:L200),0)," "," Стр. 194, Гр. 6 [H200]  д.б. = [Окр(I200+Сум(K200:L200),0)] {" &amp; ROUND(I200+SUM(K200:L200),0) &amp; "}.")," ")</f>
        <v xml:space="preserve">  </v>
      </c>
    </row>
    <row r="201" spans="1:13" ht="30" customHeight="1" x14ac:dyDescent="0.25">
      <c r="A201" s="2" t="s">
        <v>421</v>
      </c>
      <c r="B201" s="1" t="s">
        <v>422</v>
      </c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3" t="str">
        <f>IFERROR(IF(C201=ROUND(D201+SUM(F201:G201),0)," "," Стр. 195, Гр. 1 [C201]  д.б. = [Окр(D201+Сум(F201:G201),0)] {" &amp; ROUND(D201+SUM(F201:G201),0) &amp; "}.")," ") &amp; IFERROR(IF(H201=ROUND(I201+SUM(K201:L201),0)," "," Стр. 195, Гр. 6 [H201]  д.б. = [Окр(I201+Сум(K201:L201),0)] {" &amp; ROUND(I201+SUM(K201:L201),0) &amp; "}.")," ")</f>
        <v xml:space="preserve">  </v>
      </c>
    </row>
    <row r="202" spans="1:13" ht="30" customHeight="1" x14ac:dyDescent="0.25">
      <c r="A202" s="2" t="s">
        <v>423</v>
      </c>
      <c r="B202" s="1" t="s">
        <v>424</v>
      </c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3" t="str">
        <f>IFERROR(IF(C202=ROUND(D202+SUM(F202:G202),0)," "," Стр. 196, Гр. 1 [C202]  д.б. = [Окр(D202+Сум(F202:G202),0)] {" &amp; ROUND(D202+SUM(F202:G202),0) &amp; "}.")," ") &amp; IFERROR(IF(H202=ROUND(I202+SUM(K202:L202),0)," "," Стр. 196, Гр. 6 [H202]  д.б. = [Окр(I202+Сум(K202:L202),0)] {" &amp; ROUND(I202+SUM(K202:L202),0) &amp; "}.")," ")</f>
        <v xml:space="preserve">  </v>
      </c>
    </row>
    <row r="203" spans="1:13" ht="30" customHeight="1" x14ac:dyDescent="0.25">
      <c r="A203" s="2" t="s">
        <v>425</v>
      </c>
      <c r="B203" s="1" t="s">
        <v>426</v>
      </c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3" t="str">
        <f>IFERROR(IF(C203=ROUND(D203+SUM(F203:G203),0)," "," Стр. 197, Гр. 1 [C203]  д.б. = [Окр(D203+Сум(F203:G203),0)] {" &amp; ROUND(D203+SUM(F203:G203),0) &amp; "}.")," ") &amp; IFERROR(IF(H203=ROUND(I203+SUM(K203:L203),0)," "," Стр. 197, Гр. 6 [H203]  д.б. = [Окр(I203+Сум(K203:L203),0)] {" &amp; ROUND(I203+SUM(K203:L203),0) &amp; "}.")," ")</f>
        <v xml:space="preserve">  </v>
      </c>
    </row>
    <row r="204" spans="1:13" ht="30" customHeight="1" x14ac:dyDescent="0.25">
      <c r="A204" s="2" t="s">
        <v>427</v>
      </c>
      <c r="B204" s="1" t="s">
        <v>428</v>
      </c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3" t="str">
        <f>IFERROR(IF(C204=ROUND(D204+SUM(F204:G204),0)," "," Стр. 198, Гр. 1 [C204]  д.б. = [Окр(D204+Сум(F204:G204),0)] {" &amp; ROUND(D204+SUM(F204:G204),0) &amp; "}.")," ") &amp; IFERROR(IF(H204=ROUND(I204+SUM(K204:L204),0)," "," Стр. 198, Гр. 6 [H204]  д.б. = [Окр(I204+Сум(K204:L204),0)] {" &amp; ROUND(I204+SUM(K204:L204),0) &amp; "}.")," ")</f>
        <v xml:space="preserve">  </v>
      </c>
    </row>
    <row r="205" spans="1:13" ht="30" customHeight="1" x14ac:dyDescent="0.25">
      <c r="A205" s="2" t="s">
        <v>429</v>
      </c>
      <c r="B205" s="1" t="s">
        <v>430</v>
      </c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3" t="str">
        <f>IFERROR(IF(C205=ROUND(D205+SUM(F205:G205),0)," "," Стр. 199, Гр. 1 [C205]  д.б. = [Окр(D205+Сум(F205:G205),0)] {" &amp; ROUND(D205+SUM(F205:G205),0) &amp; "}.")," ") &amp; IFERROR(IF(H205=ROUND(I205+SUM(K205:L205),0)," "," Стр. 199, Гр. 6 [H205]  д.б. = [Окр(I205+Сум(K205:L205),0)] {" &amp; ROUND(I205+SUM(K205:L205),0) &amp; "}.")," ")</f>
        <v xml:space="preserve">  </v>
      </c>
    </row>
    <row r="206" spans="1:13" ht="30" customHeight="1" x14ac:dyDescent="0.25">
      <c r="A206" s="2" t="s">
        <v>431</v>
      </c>
      <c r="B206" s="1" t="s">
        <v>432</v>
      </c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3" t="str">
        <f>IFERROR(IF(C206=ROUND(D206+SUM(F206:G206),0)," "," Стр. 200, Гр. 1 [C206]  д.б. = [Окр(D206+Сум(F206:G206),0)] {" &amp; ROUND(D206+SUM(F206:G206),0) &amp; "}.")," ") &amp; IFERROR(IF(H206=ROUND(I206+SUM(K206:L206),0)," "," Стр. 200, Гр. 6 [H206]  д.б. = [Окр(I206+Сум(K206:L206),0)] {" &amp; ROUND(I206+SUM(K206:L206),0) &amp; "}.")," ")</f>
        <v xml:space="preserve">  </v>
      </c>
    </row>
    <row r="207" spans="1:13" ht="30" customHeight="1" x14ac:dyDescent="0.25">
      <c r="A207" s="2" t="s">
        <v>433</v>
      </c>
      <c r="B207" s="1" t="s">
        <v>434</v>
      </c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3" t="str">
        <f>IFERROR(IF(C207=ROUND(D207+SUM(F207:G207),0)," "," Стр. 201, Гр. 1 [C207]  д.б. = [Окр(D207+Сум(F207:G207),0)] {" &amp; ROUND(D207+SUM(F207:G207),0) &amp; "}.")," ") &amp; IFERROR(IF(H207=ROUND(I207+SUM(K207:L207),0)," "," Стр. 201, Гр. 6 [H207]  д.б. = [Окр(I207+Сум(K207:L207),0)] {" &amp; ROUND(I207+SUM(K207:L207),0) &amp; "}.")," ")</f>
        <v xml:space="preserve">  </v>
      </c>
    </row>
    <row r="208" spans="1:13" ht="30" customHeight="1" x14ac:dyDescent="0.25">
      <c r="A208" s="2" t="s">
        <v>435</v>
      </c>
      <c r="B208" s="1" t="s">
        <v>436</v>
      </c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3" t="str">
        <f>IFERROR(IF(C208=ROUND(D208+SUM(F208:G208),0)," "," Стр. 202, Гр. 1 [C208]  д.б. = [Окр(D208+Сум(F208:G208),0)] {" &amp; ROUND(D208+SUM(F208:G208),0) &amp; "}.")," ") &amp; IFERROR(IF(H208=ROUND(I208+SUM(K208:L208),0)," "," Стр. 202, Гр. 6 [H208]  д.б. = [Окр(I208+Сум(K208:L208),0)] {" &amp; ROUND(I208+SUM(K208:L208),0) &amp; "}.")," ")</f>
        <v xml:space="preserve">  </v>
      </c>
    </row>
    <row r="209" spans="1:13" ht="30" customHeight="1" x14ac:dyDescent="0.25">
      <c r="A209" s="2" t="s">
        <v>437</v>
      </c>
      <c r="B209" s="1" t="s">
        <v>438</v>
      </c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3" t="str">
        <f>IFERROR(IF(C209=ROUND(D209+SUM(F209:G209),0)," "," Стр. 203, Гр. 1 [C209]  д.б. = [Окр(D209+Сум(F209:G209),0)] {" &amp; ROUND(D209+SUM(F209:G209),0) &amp; "}.")," ") &amp; IFERROR(IF(H209=ROUND(I209+SUM(K209:L209),0)," "," Стр. 203, Гр. 6 [H209]  д.б. = [Окр(I209+Сум(K209:L209),0)] {" &amp; ROUND(I209+SUM(K209:L209),0) &amp; "}.")," ")</f>
        <v xml:space="preserve">  </v>
      </c>
    </row>
    <row r="210" spans="1:13" ht="30" customHeight="1" x14ac:dyDescent="0.25">
      <c r="A210" s="2" t="s">
        <v>439</v>
      </c>
      <c r="B210" s="1" t="s">
        <v>440</v>
      </c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3" t="str">
        <f>IFERROR(IF(C210=ROUND(D210+SUM(F210:G210),0)," "," Стр. 204, Гр. 1 [C210]  д.б. = [Окр(D210+Сум(F210:G210),0)] {" &amp; ROUND(D210+SUM(F210:G210),0) &amp; "}.")," ") &amp; IFERROR(IF(H210=ROUND(I210+SUM(K210:L210),0)," "," Стр. 204, Гр. 6 [H210]  д.б. = [Окр(I210+Сум(K210:L210),0)] {" &amp; ROUND(I210+SUM(K210:L210),0) &amp; "}.")," ")</f>
        <v xml:space="preserve">  </v>
      </c>
    </row>
    <row r="211" spans="1:13" ht="30" customHeight="1" x14ac:dyDescent="0.25">
      <c r="A211" s="2" t="s">
        <v>441</v>
      </c>
      <c r="B211" s="1" t="s">
        <v>442</v>
      </c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3" t="str">
        <f>IFERROR(IF(C211=ROUND(D211+SUM(F211:G211),0)," "," Стр. 205, Гр. 1 [C211]  д.б. = [Окр(D211+Сум(F211:G211),0)] {" &amp; ROUND(D211+SUM(F211:G211),0) &amp; "}.")," ") &amp; IFERROR(IF(H211=ROUND(I211+SUM(K211:L211),0)," "," Стр. 205, Гр. 6 [H211]  д.б. = [Окр(I211+Сум(K211:L211),0)] {" &amp; ROUND(I211+SUM(K211:L211),0) &amp; "}.")," ")</f>
        <v xml:space="preserve">  </v>
      </c>
    </row>
    <row r="212" spans="1:13" ht="30" customHeight="1" x14ac:dyDescent="0.25">
      <c r="A212" s="2" t="s">
        <v>443</v>
      </c>
      <c r="B212" s="1" t="s">
        <v>444</v>
      </c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3" t="str">
        <f>IFERROR(IF(C212=ROUND(D212+SUM(F212:G212),0)," "," Стр. 206, Гр. 1 [C212]  д.б. = [Окр(D212+Сум(F212:G212),0)] {" &amp; ROUND(D212+SUM(F212:G212),0) &amp; "}.")," ") &amp; IFERROR(IF(H212=ROUND(I212+SUM(K212:L212),0)," "," Стр. 206, Гр. 6 [H212]  д.б. = [Окр(I212+Сум(K212:L212),0)] {" &amp; ROUND(I212+SUM(K212:L212),0) &amp; "}.")," ")</f>
        <v xml:space="preserve">  </v>
      </c>
    </row>
    <row r="213" spans="1:13" ht="30" customHeight="1" x14ac:dyDescent="0.25">
      <c r="A213" s="2" t="s">
        <v>445</v>
      </c>
      <c r="B213" s="1" t="s">
        <v>446</v>
      </c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3" t="str">
        <f>IFERROR(IF(C213=ROUND(D213+SUM(F213:G213),0)," "," Стр. 207, Гр. 1 [C213]  д.б. = [Окр(D213+Сум(F213:G213),0)] {" &amp; ROUND(D213+SUM(F213:G213),0) &amp; "}.")," ") &amp; IFERROR(IF(H213=ROUND(I213+SUM(K213:L213),0)," "," Стр. 207, Гр. 6 [H213]  д.б. = [Окр(I213+Сум(K213:L213),0)] {" &amp; ROUND(I213+SUM(K213:L213),0) &amp; "}.")," ")</f>
        <v xml:space="preserve">  </v>
      </c>
    </row>
    <row r="214" spans="1:13" ht="30" customHeight="1" x14ac:dyDescent="0.25">
      <c r="A214" s="2" t="s">
        <v>447</v>
      </c>
      <c r="B214" s="1" t="s">
        <v>448</v>
      </c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3" t="str">
        <f>IFERROR(IF(C214=ROUND(D214+SUM(F214:G214),0)," "," Стр. 208, Гр. 1 [C214]  д.б. = [Окр(D214+Сум(F214:G214),0)] {" &amp; ROUND(D214+SUM(F214:G214),0) &amp; "}.")," ") &amp; IFERROR(IF(H214=ROUND(I214+SUM(K214:L214),0)," "," Стр. 208, Гр. 6 [H214]  д.б. = [Окр(I214+Сум(K214:L214),0)] {" &amp; ROUND(I214+SUM(K214:L214),0) &amp; "}.")," ")</f>
        <v xml:space="preserve">  </v>
      </c>
    </row>
    <row r="215" spans="1:13" ht="30" customHeight="1" x14ac:dyDescent="0.25">
      <c r="A215" s="2" t="s">
        <v>449</v>
      </c>
      <c r="B215" s="1" t="s">
        <v>450</v>
      </c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3" t="str">
        <f>IFERROR(IF(C215=ROUND(D215+SUM(F215:G215),0)," "," Стр. 209, Гр. 1 [C215]  д.б. = [Окр(D215+Сум(F215:G215),0)] {" &amp; ROUND(D215+SUM(F215:G215),0) &amp; "}.")," ") &amp; IFERROR(IF(H215=ROUND(I215+SUM(K215:L215),0)," "," Стр. 209, Гр. 6 [H215]  д.б. = [Окр(I215+Сум(K215:L215),0)] {" &amp; ROUND(I215+SUM(K215:L215),0) &amp; "}.")," ")</f>
        <v xml:space="preserve">  </v>
      </c>
    </row>
    <row r="216" spans="1:13" ht="30" customHeight="1" x14ac:dyDescent="0.25">
      <c r="A216" s="2" t="s">
        <v>451</v>
      </c>
      <c r="B216" s="1" t="s">
        <v>452</v>
      </c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3" t="str">
        <f>IFERROR(IF(C216=ROUND(D216+SUM(F216:G216),0)," "," Стр. 210, Гр. 1 [C216]  д.б. = [Окр(D216+Сум(F216:G216),0)] {" &amp; ROUND(D216+SUM(F216:G216),0) &amp; "}.")," ") &amp; IFERROR(IF(H216=ROUND(I216+SUM(K216:L216),0)," "," Стр. 210, Гр. 6 [H216]  д.б. = [Окр(I216+Сум(K216:L216),0)] {" &amp; ROUND(I216+SUM(K216:L216),0) &amp; "}.")," ")</f>
        <v xml:space="preserve">  </v>
      </c>
    </row>
    <row r="217" spans="1:13" ht="30" customHeight="1" x14ac:dyDescent="0.25">
      <c r="A217" s="2" t="s">
        <v>453</v>
      </c>
      <c r="B217" s="1" t="s">
        <v>454</v>
      </c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3" t="str">
        <f>IFERROR(IF(C217=ROUND(D217+SUM(F217:G217),0)," "," Стр. 211, Гр. 1 [C217]  д.б. = [Окр(D217+Сум(F217:G217),0)] {" &amp; ROUND(D217+SUM(F217:G217),0) &amp; "}.")," ") &amp; IFERROR(IF(H217=ROUND(I217+SUM(K217:L217),0)," "," Стр. 211, Гр. 6 [H217]  д.б. = [Окр(I217+Сум(K217:L217),0)] {" &amp; ROUND(I217+SUM(K217:L217),0) &amp; "}.")," ")</f>
        <v xml:space="preserve">  </v>
      </c>
    </row>
    <row r="218" spans="1:13" ht="30" customHeight="1" x14ac:dyDescent="0.25">
      <c r="A218" s="2" t="s">
        <v>455</v>
      </c>
      <c r="B218" s="1" t="s">
        <v>456</v>
      </c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3" t="str">
        <f>IFERROR(IF(C218=ROUND(D218+SUM(F218:G218),0)," "," Стр. 212, Гр. 1 [C218]  д.б. = [Окр(D218+Сум(F218:G218),0)] {" &amp; ROUND(D218+SUM(F218:G218),0) &amp; "}.")," ") &amp; IFERROR(IF(H218=ROUND(I218+SUM(K218:L218),0)," "," Стр. 212, Гр. 6 [H218]  д.б. = [Окр(I218+Сум(K218:L218),0)] {" &amp; ROUND(I218+SUM(K218:L218),0) &amp; "}.")," ")</f>
        <v xml:space="preserve">  </v>
      </c>
    </row>
    <row r="219" spans="1:13" ht="30" customHeight="1" x14ac:dyDescent="0.25">
      <c r="A219" s="2" t="s">
        <v>457</v>
      </c>
      <c r="B219" s="1" t="s">
        <v>458</v>
      </c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3" t="str">
        <f>IFERROR(IF(C219=ROUND(D219+SUM(F219:G219),0)," "," Стр. 213, Гр. 1 [C219]  д.б. = [Окр(D219+Сум(F219:G219),0)] {" &amp; ROUND(D219+SUM(F219:G219),0) &amp; "}.")," ") &amp; IFERROR(IF(H219=ROUND(I219+SUM(K219:L219),0)," "," Стр. 213, Гр. 6 [H219]  д.б. = [Окр(I219+Сум(K219:L219),0)] {" &amp; ROUND(I219+SUM(K219:L219),0) &amp; "}.")," ")</f>
        <v xml:space="preserve">  </v>
      </c>
    </row>
    <row r="220" spans="1:13" ht="30" customHeight="1" x14ac:dyDescent="0.25">
      <c r="A220" s="2" t="s">
        <v>459</v>
      </c>
      <c r="B220" s="1" t="s">
        <v>460</v>
      </c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3" t="str">
        <f>IFERROR(IF(C220=ROUND(D220+SUM(F220:G220),0)," "," Стр. 214, Гр. 1 [C220]  д.б. = [Окр(D220+Сум(F220:G220),0)] {" &amp; ROUND(D220+SUM(F220:G220),0) &amp; "}.")," ") &amp; IFERROR(IF(H220=ROUND(I220+SUM(K220:L220),0)," "," Стр. 214, Гр. 6 [H220]  д.б. = [Окр(I220+Сум(K220:L220),0)] {" &amp; ROUND(I220+SUM(K220:L220),0) &amp; "}.")," ")</f>
        <v xml:space="preserve">  </v>
      </c>
    </row>
    <row r="221" spans="1:13" ht="30" customHeight="1" x14ac:dyDescent="0.25">
      <c r="A221" s="2" t="s">
        <v>461</v>
      </c>
      <c r="B221" s="1" t="s">
        <v>462</v>
      </c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3" t="str">
        <f>IFERROR(IF(C221=ROUND(D221+SUM(F221:G221),0)," "," Стр. 215, Гр. 1 [C221]  д.б. = [Окр(D221+Сум(F221:G221),0)] {" &amp; ROUND(D221+SUM(F221:G221),0) &amp; "}.")," ") &amp; IFERROR(IF(H221=ROUND(I221+SUM(K221:L221),0)," "," Стр. 215, Гр. 6 [H221]  д.б. = [Окр(I221+Сум(K221:L221),0)] {" &amp; ROUND(I221+SUM(K221:L221),0) &amp; "}.")," ")</f>
        <v xml:space="preserve">  </v>
      </c>
    </row>
    <row r="222" spans="1:13" ht="30" customHeight="1" x14ac:dyDescent="0.25">
      <c r="A222" s="2" t="s">
        <v>463</v>
      </c>
      <c r="B222" s="1" t="s">
        <v>464</v>
      </c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3" t="str">
        <f>IFERROR(IF(C222=ROUND(D222+SUM(F222:G222),0)," "," Стр. 216, Гр. 1 [C222]  д.б. = [Окр(D222+Сум(F222:G222),0)] {" &amp; ROUND(D222+SUM(F222:G222),0) &amp; "}.")," ") &amp; IFERROR(IF(H222=ROUND(I222+SUM(K222:L222),0)," "," Стр. 216, Гр. 6 [H222]  д.б. = [Окр(I222+Сум(K222:L222),0)] {" &amp; ROUND(I222+SUM(K222:L222),0) &amp; "}.")," ")</f>
        <v xml:space="preserve">  </v>
      </c>
    </row>
    <row r="223" spans="1:13" ht="30" customHeight="1" x14ac:dyDescent="0.25">
      <c r="A223" s="2" t="s">
        <v>465</v>
      </c>
      <c r="B223" s="1" t="s">
        <v>466</v>
      </c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3" t="str">
        <f>IFERROR(IF(C223=ROUND(D223+SUM(F223:G223),0)," "," Стр. 217, Гр. 1 [C223]  д.б. = [Окр(D223+Сум(F223:G223),0)] {" &amp; ROUND(D223+SUM(F223:G223),0) &amp; "}.")," ") &amp; IFERROR(IF(H223=ROUND(I223+SUM(K223:L223),0)," "," Стр. 217, Гр. 6 [H223]  д.б. = [Окр(I223+Сум(K223:L223),0)] {" &amp; ROUND(I223+SUM(K223:L223),0) &amp; "}.")," ")</f>
        <v xml:space="preserve">  </v>
      </c>
    </row>
    <row r="224" spans="1:13" ht="30" customHeight="1" x14ac:dyDescent="0.25">
      <c r="A224" s="2" t="s">
        <v>467</v>
      </c>
      <c r="B224" s="1" t="s">
        <v>468</v>
      </c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3" t="str">
        <f>IFERROR(IF(C224=ROUND(D224+SUM(F224:G224),0)," "," Стр. 218, Гр. 1 [C224]  д.б. = [Окр(D224+Сум(F224:G224),0)] {" &amp; ROUND(D224+SUM(F224:G224),0) &amp; "}.")," ") &amp; IFERROR(IF(H224=ROUND(I224+SUM(K224:L224),0)," "," Стр. 218, Гр. 6 [H224]  д.б. = [Окр(I224+Сум(K224:L224),0)] {" &amp; ROUND(I224+SUM(K224:L224),0) &amp; "}.")," ")</f>
        <v xml:space="preserve">  </v>
      </c>
    </row>
    <row r="225" spans="1:13" ht="30" customHeight="1" x14ac:dyDescent="0.25">
      <c r="A225" s="2" t="s">
        <v>469</v>
      </c>
      <c r="B225" s="1" t="s">
        <v>470</v>
      </c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3" t="str">
        <f>IFERROR(IF(C225=ROUND(D225+SUM(F225:G225),0)," "," Стр. 219, Гр. 1 [C225]  д.б. = [Окр(D225+Сум(F225:G225),0)] {" &amp; ROUND(D225+SUM(F225:G225),0) &amp; "}.")," ") &amp; IFERROR(IF(H225=ROUND(I225+SUM(K225:L225),0)," "," Стр. 219, Гр. 6 [H225]  д.б. = [Окр(I225+Сум(K225:L225),0)] {" &amp; ROUND(I225+SUM(K225:L225),0) &amp; "}.")," ")</f>
        <v xml:space="preserve">  </v>
      </c>
    </row>
    <row r="226" spans="1:13" ht="30" customHeight="1" x14ac:dyDescent="0.25">
      <c r="A226" s="2" t="s">
        <v>471</v>
      </c>
      <c r="B226" s="1" t="s">
        <v>472</v>
      </c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3" t="str">
        <f>IFERROR(IF(C226=ROUND(D226+SUM(F226:G226),0)," "," Стр. 220, Гр. 1 [C226]  д.б. = [Окр(D226+Сум(F226:G226),0)] {" &amp; ROUND(D226+SUM(F226:G226),0) &amp; "}.")," ") &amp; IFERROR(IF(H226=ROUND(I226+SUM(K226:L226),0)," "," Стр. 220, Гр. 6 [H226]  д.б. = [Окр(I226+Сум(K226:L226),0)] {" &amp; ROUND(I226+SUM(K226:L226),0) &amp; "}.")," ")</f>
        <v xml:space="preserve">  </v>
      </c>
    </row>
    <row r="227" spans="1:13" ht="30" customHeight="1" x14ac:dyDescent="0.25">
      <c r="A227" s="2" t="s">
        <v>473</v>
      </c>
      <c r="B227" s="1" t="s">
        <v>474</v>
      </c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3" t="str">
        <f>IFERROR(IF(C227=ROUND(D227+SUM(F227:G227),0)," "," Стр. 221, Гр. 1 [C227]  д.б. = [Окр(D227+Сум(F227:G227),0)] {" &amp; ROUND(D227+SUM(F227:G227),0) &amp; "}.")," ") &amp; IFERROR(IF(H227=ROUND(I227+SUM(K227:L227),0)," "," Стр. 221, Гр. 6 [H227]  д.б. = [Окр(I227+Сум(K227:L227),0)] {" &amp; ROUND(I227+SUM(K227:L227),0) &amp; "}.")," ")</f>
        <v xml:space="preserve">  </v>
      </c>
    </row>
    <row r="228" spans="1:13" ht="30" customHeight="1" x14ac:dyDescent="0.25">
      <c r="A228" s="2" t="s">
        <v>475</v>
      </c>
      <c r="B228" s="1" t="s">
        <v>476</v>
      </c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3" t="str">
        <f>IFERROR(IF(C228=ROUND(D228+SUM(F228:G228),0)," "," Стр. 222, Гр. 1 [C228]  д.б. = [Окр(D228+Сум(F228:G228),0)] {" &amp; ROUND(D228+SUM(F228:G228),0) &amp; "}.")," ") &amp; IFERROR(IF(H228=ROUND(I228+SUM(K228:L228),0)," "," Стр. 222, Гр. 6 [H228]  д.б. = [Окр(I228+Сум(K228:L228),0)] {" &amp; ROUND(I228+SUM(K228:L228),0) &amp; "}.")," ")</f>
        <v xml:space="preserve">  </v>
      </c>
    </row>
    <row r="229" spans="1:13" ht="30" customHeight="1" x14ac:dyDescent="0.25">
      <c r="A229" s="2" t="s">
        <v>477</v>
      </c>
      <c r="B229" s="1" t="s">
        <v>478</v>
      </c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3" t="str">
        <f>IFERROR(IF(C229=ROUND(D229+SUM(F229:G229),0)," "," Стр. 223, Гр. 1 [C229]  д.б. = [Окр(D229+Сум(F229:G229),0)] {" &amp; ROUND(D229+SUM(F229:G229),0) &amp; "}.")," ") &amp; IFERROR(IF(H229=ROUND(I229+SUM(K229:L229),0)," "," Стр. 223, Гр. 6 [H229]  д.б. = [Окр(I229+Сум(K229:L229),0)] {" &amp; ROUND(I229+SUM(K229:L229),0) &amp; "}.")," ")</f>
        <v xml:space="preserve">  </v>
      </c>
    </row>
    <row r="230" spans="1:13" ht="30" customHeight="1" x14ac:dyDescent="0.25">
      <c r="A230" s="2" t="s">
        <v>479</v>
      </c>
      <c r="B230" s="1" t="s">
        <v>480</v>
      </c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3" t="str">
        <f>IFERROR(IF(C230=ROUND(D230+SUM(F230:G230),0)," "," Стр. 224, Гр. 1 [C230]  д.б. = [Окр(D230+Сум(F230:G230),0)] {" &amp; ROUND(D230+SUM(F230:G230),0) &amp; "}.")," ") &amp; IFERROR(IF(H230=ROUND(I230+SUM(K230:L230),0)," "," Стр. 224, Гр. 6 [H230]  д.б. = [Окр(I230+Сум(K230:L230),0)] {" &amp; ROUND(I230+SUM(K230:L230),0) &amp; "}.")," ")</f>
        <v xml:space="preserve">  </v>
      </c>
    </row>
    <row r="231" spans="1:13" ht="30" customHeight="1" x14ac:dyDescent="0.25">
      <c r="A231" s="2" t="s">
        <v>481</v>
      </c>
      <c r="B231" s="1" t="s">
        <v>482</v>
      </c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3" t="str">
        <f>IFERROR(IF(C231=ROUND(D231+SUM(F231:G231),0)," "," Стр. 225, Гр. 1 [C231]  д.б. = [Окр(D231+Сум(F231:G231),0)] {" &amp; ROUND(D231+SUM(F231:G231),0) &amp; "}.")," ") &amp; IFERROR(IF(H231=ROUND(I231+SUM(K231:L231),0)," "," Стр. 225, Гр. 6 [H231]  д.б. = [Окр(I231+Сум(K231:L231),0)] {" &amp; ROUND(I231+SUM(K231:L231),0) &amp; "}.")," ")</f>
        <v xml:space="preserve">  </v>
      </c>
    </row>
    <row r="232" spans="1:13" ht="30" customHeight="1" x14ac:dyDescent="0.25">
      <c r="A232" s="2" t="s">
        <v>483</v>
      </c>
      <c r="B232" s="1" t="s">
        <v>484</v>
      </c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3" t="str">
        <f>IFERROR(IF(C232=ROUND(D232+SUM(F232:G232),0)," "," Стр. 226, Гр. 1 [C232]  д.б. = [Окр(D232+Сум(F232:G232),0)] {" &amp; ROUND(D232+SUM(F232:G232),0) &amp; "}.")," ") &amp; IFERROR(IF(H232=ROUND(I232+SUM(K232:L232),0)," "," Стр. 226, Гр. 6 [H232]  д.б. = [Окр(I232+Сум(K232:L232),0)] {" &amp; ROUND(I232+SUM(K232:L232),0) &amp; "}.")," ")</f>
        <v xml:space="preserve">  </v>
      </c>
    </row>
    <row r="233" spans="1:13" ht="30" customHeight="1" x14ac:dyDescent="0.25">
      <c r="A233" s="2" t="s">
        <v>485</v>
      </c>
      <c r="B233" s="1" t="s">
        <v>486</v>
      </c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3" t="str">
        <f>IFERROR(IF(C233=ROUND(D233+SUM(F233:G233),0)," "," Стр. 227, Гр. 1 [C233]  д.б. = [Окр(D233+Сум(F233:G233),0)] {" &amp; ROUND(D233+SUM(F233:G233),0) &amp; "}.")," ") &amp; IFERROR(IF(H233=ROUND(I233+SUM(K233:L233),0)," "," Стр. 227, Гр. 6 [H233]  д.б. = [Окр(I233+Сум(K233:L233),0)] {" &amp; ROUND(I233+SUM(K233:L233),0) &amp; "}.")," ")</f>
        <v xml:space="preserve">  </v>
      </c>
    </row>
    <row r="234" spans="1:13" ht="30" customHeight="1" x14ac:dyDescent="0.25">
      <c r="A234" s="2" t="s">
        <v>487</v>
      </c>
      <c r="B234" s="1" t="s">
        <v>488</v>
      </c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3" t="str">
        <f>IFERROR(IF(C234=ROUND(D234+SUM(F234:G234),0)," "," Стр. 228, Гр. 1 [C234]  д.б. = [Окр(D234+Сум(F234:G234),0)] {" &amp; ROUND(D234+SUM(F234:G234),0) &amp; "}.")," ") &amp; IFERROR(IF(H234=ROUND(I234+SUM(K234:L234),0)," "," Стр. 228, Гр. 6 [H234]  д.б. = [Окр(I234+Сум(K234:L234),0)] {" &amp; ROUND(I234+SUM(K234:L234),0) &amp; "}.")," ")</f>
        <v xml:space="preserve">  </v>
      </c>
    </row>
    <row r="235" spans="1:13" ht="30" customHeight="1" x14ac:dyDescent="0.25">
      <c r="A235" s="2" t="s">
        <v>489</v>
      </c>
      <c r="B235" s="1" t="s">
        <v>490</v>
      </c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3" t="str">
        <f>IFERROR(IF(C235=ROUND(D235+SUM(F235:G235),0)," "," Стр. 229, Гр. 1 [C235]  д.б. = [Окр(D235+Сум(F235:G235),0)] {" &amp; ROUND(D235+SUM(F235:G235),0) &amp; "}.")," ") &amp; IFERROR(IF(H235=ROUND(I235+SUM(K235:L235),0)," "," Стр. 229, Гр. 6 [H235]  д.б. = [Окр(I235+Сум(K235:L235),0)] {" &amp; ROUND(I235+SUM(K235:L235),0) &amp; "}.")," ")</f>
        <v xml:space="preserve">  </v>
      </c>
    </row>
    <row r="236" spans="1:13" ht="30" customHeight="1" x14ac:dyDescent="0.25">
      <c r="A236" s="2" t="s">
        <v>491</v>
      </c>
      <c r="B236" s="1" t="s">
        <v>492</v>
      </c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3" t="str">
        <f>IFERROR(IF(C236=ROUND(D236+SUM(F236:G236),0)," "," Стр. 230, Гр. 1 [C236]  д.б. = [Окр(D236+Сум(F236:G236),0)] {" &amp; ROUND(D236+SUM(F236:G236),0) &amp; "}.")," ") &amp; IFERROR(IF(H236=ROUND(I236+SUM(K236:L236),0)," "," Стр. 230, Гр. 6 [H236]  д.б. = [Окр(I236+Сум(K236:L236),0)] {" &amp; ROUND(I236+SUM(K236:L236),0) &amp; "}.")," ")</f>
        <v xml:space="preserve">  </v>
      </c>
    </row>
    <row r="237" spans="1:13" ht="30" customHeight="1" x14ac:dyDescent="0.25">
      <c r="A237" s="2" t="s">
        <v>493</v>
      </c>
      <c r="B237" s="1" t="s">
        <v>494</v>
      </c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3" t="str">
        <f>IFERROR(IF(C237=ROUND(D237+SUM(F237:G237),0)," "," Стр. 231, Гр. 1 [C237]  д.б. = [Окр(D237+Сум(F237:G237),0)] {" &amp; ROUND(D237+SUM(F237:G237),0) &amp; "}.")," ") &amp; IFERROR(IF(H237=ROUND(I237+SUM(K237:L237),0)," "," Стр. 231, Гр. 6 [H237]  д.б. = [Окр(I237+Сум(K237:L237),0)] {" &amp; ROUND(I237+SUM(K237:L237),0) &amp; "}.")," ")</f>
        <v xml:space="preserve">  </v>
      </c>
    </row>
    <row r="238" spans="1:13" ht="30" customHeight="1" x14ac:dyDescent="0.25">
      <c r="A238" s="2" t="s">
        <v>495</v>
      </c>
      <c r="B238" s="1" t="s">
        <v>496</v>
      </c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3" t="str">
        <f>IFERROR(IF(C238=ROUND(D238+SUM(F238:G238),0)," "," Стр. 232, Гр. 1 [C238]  д.б. = [Окр(D238+Сум(F238:G238),0)] {" &amp; ROUND(D238+SUM(F238:G238),0) &amp; "}.")," ") &amp; IFERROR(IF(H238=ROUND(I238+SUM(K238:L238),0)," "," Стр. 232, Гр. 6 [H238]  д.б. = [Окр(I238+Сум(K238:L238),0)] {" &amp; ROUND(I238+SUM(K238:L238),0) &amp; "}.")," ")</f>
        <v xml:space="preserve">  </v>
      </c>
    </row>
    <row r="239" spans="1:13" ht="30" customHeight="1" x14ac:dyDescent="0.25">
      <c r="A239" s="2" t="s">
        <v>497</v>
      </c>
      <c r="B239" s="1" t="s">
        <v>498</v>
      </c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3" t="str">
        <f>IFERROR(IF(C239=ROUND(D239+SUM(F239:G239),0)," "," Стр. 233, Гр. 1 [C239]  д.б. = [Окр(D239+Сум(F239:G239),0)] {" &amp; ROUND(D239+SUM(F239:G239),0) &amp; "}.")," ") &amp; IFERROR(IF(H239=ROUND(I239+SUM(K239:L239),0)," "," Стр. 233, Гр. 6 [H239]  д.б. = [Окр(I239+Сум(K239:L239),0)] {" &amp; ROUND(I239+SUM(K239:L239),0) &amp; "}.")," ")</f>
        <v xml:space="preserve">  </v>
      </c>
    </row>
    <row r="240" spans="1:13" ht="30" customHeight="1" x14ac:dyDescent="0.25">
      <c r="A240" s="2" t="s">
        <v>499</v>
      </c>
      <c r="B240" s="1" t="s">
        <v>500</v>
      </c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3" t="str">
        <f>IFERROR(IF(C240=ROUND(D240+SUM(F240:G240),0)," "," Стр. 234, Гр. 1 [C240]  д.б. = [Окр(D240+Сум(F240:G240),0)] {" &amp; ROUND(D240+SUM(F240:G240),0) &amp; "}.")," ") &amp; IFERROR(IF(H240=ROUND(I240+SUM(K240:L240),0)," "," Стр. 234, Гр. 6 [H240]  д.б. = [Окр(I240+Сум(K240:L240),0)] {" &amp; ROUND(I240+SUM(K240:L240),0) &amp; "}.")," ")</f>
        <v xml:space="preserve">  </v>
      </c>
    </row>
    <row r="241" spans="1:13" ht="30" customHeight="1" x14ac:dyDescent="0.25">
      <c r="A241" s="2" t="s">
        <v>501</v>
      </c>
      <c r="B241" s="1" t="s">
        <v>502</v>
      </c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3" t="str">
        <f>IFERROR(IF(C241=ROUND(D241+SUM(F241:G241),0)," "," Стр. 235, Гр. 1 [C241]  д.б. = [Окр(D241+Сум(F241:G241),0)] {" &amp; ROUND(D241+SUM(F241:G241),0) &amp; "}.")," ") &amp; IFERROR(IF(H241=ROUND(I241+SUM(K241:L241),0)," "," Стр. 235, Гр. 6 [H241]  д.б. = [Окр(I241+Сум(K241:L241),0)] {" &amp; ROUND(I241+SUM(K241:L241),0) &amp; "}.")," ")</f>
        <v xml:space="preserve">  </v>
      </c>
    </row>
    <row r="242" spans="1:13" ht="30" customHeight="1" x14ac:dyDescent="0.25">
      <c r="A242" s="2" t="s">
        <v>503</v>
      </c>
      <c r="B242" s="1" t="s">
        <v>504</v>
      </c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3" t="str">
        <f>IFERROR(IF(C242=ROUND(D242+SUM(F242:G242),0)," "," Стр. 236, Гр. 1 [C242]  д.б. = [Окр(D242+Сум(F242:G242),0)] {" &amp; ROUND(D242+SUM(F242:G242),0) &amp; "}.")," ") &amp; IFERROR(IF(H242=ROUND(I242+SUM(K242:L242),0)," "," Стр. 236, Гр. 6 [H242]  д.б. = [Окр(I242+Сум(K242:L242),0)] {" &amp; ROUND(I242+SUM(K242:L242),0) &amp; "}.")," ")</f>
        <v xml:space="preserve">  </v>
      </c>
    </row>
    <row r="243" spans="1:13" ht="30" customHeight="1" x14ac:dyDescent="0.25">
      <c r="A243" s="2" t="s">
        <v>505</v>
      </c>
      <c r="B243" s="1" t="s">
        <v>506</v>
      </c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3" t="str">
        <f>IFERROR(IF(C243=ROUND(D243+SUM(F243:G243),0)," "," Стр. 237, Гр. 1 [C243]  д.б. = [Окр(D243+Сум(F243:G243),0)] {" &amp; ROUND(D243+SUM(F243:G243),0) &amp; "}.")," ") &amp; IFERROR(IF(H243=ROUND(I243+SUM(K243:L243),0)," "," Стр. 237, Гр. 6 [H243]  д.б. = [Окр(I243+Сум(K243:L243),0)] {" &amp; ROUND(I243+SUM(K243:L243),0) &amp; "}.")," ")</f>
        <v xml:space="preserve">  </v>
      </c>
    </row>
    <row r="244" spans="1:13" ht="30" customHeight="1" x14ac:dyDescent="0.25">
      <c r="A244" s="2" t="s">
        <v>507</v>
      </c>
      <c r="B244" s="1" t="s">
        <v>508</v>
      </c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3" t="str">
        <f>IFERROR(IF(C244=ROUND(D244+SUM(F244:G244),0)," "," Стр. 238, Гр. 1 [C244]  д.б. = [Окр(D244+Сум(F244:G244),0)] {" &amp; ROUND(D244+SUM(F244:G244),0) &amp; "}.")," ") &amp; IFERROR(IF(H244=ROUND(I244+SUM(K244:L244),0)," "," Стр. 238, Гр. 6 [H244]  д.б. = [Окр(I244+Сум(K244:L244),0)] {" &amp; ROUND(I244+SUM(K244:L244),0) &amp; "}.")," ")</f>
        <v xml:space="preserve">  </v>
      </c>
    </row>
    <row r="245" spans="1:13" ht="30" customHeight="1" x14ac:dyDescent="0.25">
      <c r="A245" s="2" t="s">
        <v>509</v>
      </c>
      <c r="B245" s="1" t="s">
        <v>510</v>
      </c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3" t="str">
        <f>IFERROR(IF(C245=ROUND(D245+SUM(F245:G245),0)," "," Стр. 239, Гр. 1 [C245]  д.б. = [Окр(D245+Сум(F245:G245),0)] {" &amp; ROUND(D245+SUM(F245:G245),0) &amp; "}.")," ") &amp; IFERROR(IF(H245=ROUND(I245+SUM(K245:L245),0)," "," Стр. 239, Гр. 6 [H245]  д.б. = [Окр(I245+Сум(K245:L245),0)] {" &amp; ROUND(I245+SUM(K245:L245),0) &amp; "}.")," ")</f>
        <v xml:space="preserve">  </v>
      </c>
    </row>
    <row r="246" spans="1:13" ht="30" customHeight="1" x14ac:dyDescent="0.25">
      <c r="A246" s="2" t="s">
        <v>511</v>
      </c>
      <c r="B246" s="1" t="s">
        <v>512</v>
      </c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3" t="str">
        <f>IFERROR(IF(C246=ROUND(D246+SUM(F246:G246),0)," "," Стр. 240, Гр. 1 [C246]  д.б. = [Окр(D246+Сум(F246:G246),0)] {" &amp; ROUND(D246+SUM(F246:G246),0) &amp; "}.")," ") &amp; IFERROR(IF(H246=ROUND(I246+SUM(K246:L246),0)," "," Стр. 240, Гр. 6 [H246]  д.б. = [Окр(I246+Сум(K246:L246),0)] {" &amp; ROUND(I246+SUM(K246:L246),0) &amp; "}.")," ")</f>
        <v xml:space="preserve">  </v>
      </c>
    </row>
    <row r="247" spans="1:13" ht="30" customHeight="1" x14ac:dyDescent="0.25">
      <c r="A247" s="2" t="s">
        <v>513</v>
      </c>
      <c r="B247" s="1" t="s">
        <v>514</v>
      </c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3" t="str">
        <f>IFERROR(IF(C247=ROUND(D247+SUM(F247:G247),0)," "," Стр. 241, Гр. 1 [C247]  д.б. = [Окр(D247+Сум(F247:G247),0)] {" &amp; ROUND(D247+SUM(F247:G247),0) &amp; "}.")," ") &amp; IFERROR(IF(H247=ROUND(I247+SUM(K247:L247),0)," "," Стр. 241, Гр. 6 [H247]  д.б. = [Окр(I247+Сум(K247:L247),0)] {" &amp; ROUND(I247+SUM(K247:L247),0) &amp; "}.")," ")</f>
        <v xml:space="preserve">  </v>
      </c>
    </row>
    <row r="248" spans="1:13" ht="30" customHeight="1" x14ac:dyDescent="0.25">
      <c r="A248" s="2" t="s">
        <v>515</v>
      </c>
      <c r="B248" s="1" t="s">
        <v>516</v>
      </c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3" t="str">
        <f>IFERROR(IF(C248=ROUND(D248+SUM(F248:G248),0)," "," Стр. 242, Гр. 1 [C248]  д.б. = [Окр(D248+Сум(F248:G248),0)] {" &amp; ROUND(D248+SUM(F248:G248),0) &amp; "}.")," ") &amp; IFERROR(IF(H248=ROUND(I248+SUM(K248:L248),0)," "," Стр. 242, Гр. 6 [H248]  д.б. = [Окр(I248+Сум(K248:L248),0)] {" &amp; ROUND(I248+SUM(K248:L248),0) &amp; "}.")," ")</f>
        <v xml:space="preserve">  </v>
      </c>
    </row>
    <row r="249" spans="1:13" ht="30" customHeight="1" x14ac:dyDescent="0.25">
      <c r="A249" s="2" t="s">
        <v>517</v>
      </c>
      <c r="B249" s="1" t="s">
        <v>518</v>
      </c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3" t="str">
        <f>IFERROR(IF(C249=ROUND(D249+SUM(F249:G249),0)," "," Стр. 243, Гр. 1 [C249]  д.б. = [Окр(D249+Сум(F249:G249),0)] {" &amp; ROUND(D249+SUM(F249:G249),0) &amp; "}.")," ") &amp; IFERROR(IF(H249=ROUND(I249+SUM(K249:L249),0)," "," Стр. 243, Гр. 6 [H249]  д.б. = [Окр(I249+Сум(K249:L249),0)] {" &amp; ROUND(I249+SUM(K249:L249),0) &amp; "}.")," ")</f>
        <v xml:space="preserve">  </v>
      </c>
    </row>
    <row r="250" spans="1:13" ht="30" customHeight="1" x14ac:dyDescent="0.25">
      <c r="A250" s="2" t="s">
        <v>519</v>
      </c>
      <c r="B250" s="1" t="s">
        <v>520</v>
      </c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3" t="str">
        <f>IFERROR(IF(C250=ROUND(D250+SUM(F250:G250),0)," "," Стр. 244, Гр. 1 [C250]  д.б. = [Окр(D250+Сум(F250:G250),0)] {" &amp; ROUND(D250+SUM(F250:G250),0) &amp; "}.")," ") &amp; IFERROR(IF(H250=ROUND(I250+SUM(K250:L250),0)," "," Стр. 244, Гр. 6 [H250]  д.б. = [Окр(I250+Сум(K250:L250),0)] {" &amp; ROUND(I250+SUM(K250:L250),0) &amp; "}.")," ")</f>
        <v xml:space="preserve">  </v>
      </c>
    </row>
    <row r="251" spans="1:13" ht="30" customHeight="1" x14ac:dyDescent="0.25">
      <c r="A251" s="2" t="s">
        <v>521</v>
      </c>
      <c r="B251" s="1" t="s">
        <v>522</v>
      </c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3" t="str">
        <f>IFERROR(IF(C251=ROUND(D251+SUM(F251:G251),0)," "," Стр. 245, Гр. 1 [C251]  д.б. = [Окр(D251+Сум(F251:G251),0)] {" &amp; ROUND(D251+SUM(F251:G251),0) &amp; "}.")," ") &amp; IFERROR(IF(H251=ROUND(I251+SUM(K251:L251),0)," "," Стр. 245, Гр. 6 [H251]  д.б. = [Окр(I251+Сум(K251:L251),0)] {" &amp; ROUND(I251+SUM(K251:L251),0) &amp; "}.")," ")</f>
        <v xml:space="preserve">  </v>
      </c>
    </row>
    <row r="252" spans="1:13" ht="30" customHeight="1" x14ac:dyDescent="0.25">
      <c r="A252" s="2" t="s">
        <v>523</v>
      </c>
      <c r="B252" s="1" t="s">
        <v>524</v>
      </c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3" t="str">
        <f>IFERROR(IF(C252=ROUND(D252+SUM(F252:G252),0)," "," Стр. 246, Гр. 1 [C252]  д.б. = [Окр(D252+Сум(F252:G252),0)] {" &amp; ROUND(D252+SUM(F252:G252),0) &amp; "}.")," ") &amp; IFERROR(IF(H252=ROUND(I252+SUM(K252:L252),0)," "," Стр. 246, Гр. 6 [H252]  д.б. = [Окр(I252+Сум(K252:L252),0)] {" &amp; ROUND(I252+SUM(K252:L252),0) &amp; "}.")," ")</f>
        <v xml:space="preserve">  </v>
      </c>
    </row>
    <row r="253" spans="1:13" ht="30" customHeight="1" x14ac:dyDescent="0.25">
      <c r="A253" s="2" t="s">
        <v>525</v>
      </c>
      <c r="B253" s="1" t="s">
        <v>526</v>
      </c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3" t="str">
        <f>IFERROR(IF(C253=ROUND(D253+SUM(F253:G253),0)," "," Стр. 247, Гр. 1 [C253]  д.б. = [Окр(D253+Сум(F253:G253),0)] {" &amp; ROUND(D253+SUM(F253:G253),0) &amp; "}.")," ") &amp; IFERROR(IF(H253=ROUND(I253+SUM(K253:L253),0)," "," Стр. 247, Гр. 6 [H253]  д.б. = [Окр(I253+Сум(K253:L253),0)] {" &amp; ROUND(I253+SUM(K253:L253),0) &amp; "}.")," ")</f>
        <v xml:space="preserve">  </v>
      </c>
    </row>
    <row r="254" spans="1:13" ht="30" customHeight="1" x14ac:dyDescent="0.25">
      <c r="A254" s="2" t="s">
        <v>527</v>
      </c>
      <c r="B254" s="1" t="s">
        <v>528</v>
      </c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3" t="str">
        <f>IFERROR(IF(C254=ROUND(D254+SUM(F254:G254),0)," "," Стр. 248, Гр. 1 [C254]  д.б. = [Окр(D254+Сум(F254:G254),0)] {" &amp; ROUND(D254+SUM(F254:G254),0) &amp; "}.")," ") &amp; IFERROR(IF(H254=ROUND(I254+SUM(K254:L254),0)," "," Стр. 248, Гр. 6 [H254]  д.б. = [Окр(I254+Сум(K254:L254),0)] {" &amp; ROUND(I254+SUM(K254:L254),0) &amp; "}.")," ")</f>
        <v xml:space="preserve">  </v>
      </c>
    </row>
    <row r="255" spans="1:13" ht="30" customHeight="1" x14ac:dyDescent="0.25">
      <c r="A255" s="2" t="s">
        <v>529</v>
      </c>
      <c r="B255" s="1" t="s">
        <v>530</v>
      </c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3" t="str">
        <f>IFERROR(IF(C255=ROUND(D255+SUM(F255:G255),0)," "," Стр. 249, Гр. 1 [C255]  д.б. = [Окр(D255+Сум(F255:G255),0)] {" &amp; ROUND(D255+SUM(F255:G255),0) &amp; "}.")," ") &amp; IFERROR(IF(H255=ROUND(I255+SUM(K255:L255),0)," "," Стр. 249, Гр. 6 [H255]  д.б. = [Окр(I255+Сум(K255:L255),0)] {" &amp; ROUND(I255+SUM(K255:L255),0) &amp; "}.")," ")</f>
        <v xml:space="preserve">  </v>
      </c>
    </row>
    <row r="256" spans="1:13" ht="30" customHeight="1" x14ac:dyDescent="0.25">
      <c r="A256" s="2" t="s">
        <v>531</v>
      </c>
      <c r="B256" s="1" t="s">
        <v>532</v>
      </c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3" t="str">
        <f>IFERROR(IF(C256=ROUND(D256+SUM(F256:G256),0)," "," Стр. 250, Гр. 1 [C256]  д.б. = [Окр(D256+Сум(F256:G256),0)] {" &amp; ROUND(D256+SUM(F256:G256),0) &amp; "}.")," ") &amp; IFERROR(IF(H256=ROUND(I256+SUM(K256:L256),0)," "," Стр. 250, Гр. 6 [H256]  д.б. = [Окр(I256+Сум(K256:L256),0)] {" &amp; ROUND(I256+SUM(K256:L256),0) &amp; "}.")," ")</f>
        <v xml:space="preserve">  </v>
      </c>
    </row>
    <row r="257" spans="1:13" ht="30" customHeight="1" x14ac:dyDescent="0.25">
      <c r="A257" s="2" t="s">
        <v>533</v>
      </c>
      <c r="B257" s="1" t="s">
        <v>534</v>
      </c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3" t="str">
        <f>IFERROR(IF(C257=ROUND(D257+SUM(F257:G257),0)," "," Стр. 251, Гр. 1 [C257]  д.б. = [Окр(D257+Сум(F257:G257),0)] {" &amp; ROUND(D257+SUM(F257:G257),0) &amp; "}.")," ") &amp; IFERROR(IF(H257=ROUND(I257+SUM(K257:L257),0)," "," Стр. 251, Гр. 6 [H257]  д.б. = [Окр(I257+Сум(K257:L257),0)] {" &amp; ROUND(I257+SUM(K257:L257),0) &amp; "}.")," ")</f>
        <v xml:space="preserve">  </v>
      </c>
    </row>
    <row r="258" spans="1:13" ht="30" customHeight="1" x14ac:dyDescent="0.25">
      <c r="A258" s="2" t="s">
        <v>535</v>
      </c>
      <c r="B258" s="1" t="s">
        <v>536</v>
      </c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3" t="str">
        <f>IFERROR(IF(C258=ROUND(D258+SUM(F258:G258),0)," "," Стр. 252, Гр. 1 [C258]  д.б. = [Окр(D258+Сум(F258:G258),0)] {" &amp; ROUND(D258+SUM(F258:G258),0) &amp; "}.")," ") &amp; IFERROR(IF(H258=ROUND(I258+SUM(K258:L258),0)," "," Стр. 252, Гр. 6 [H258]  д.б. = [Окр(I258+Сум(K258:L258),0)] {" &amp; ROUND(I258+SUM(K258:L258),0) &amp; "}.")," ")</f>
        <v xml:space="preserve">  </v>
      </c>
    </row>
    <row r="259" spans="1:13" ht="30" customHeight="1" x14ac:dyDescent="0.25">
      <c r="A259" s="2" t="s">
        <v>537</v>
      </c>
      <c r="B259" s="1" t="s">
        <v>538</v>
      </c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3" t="str">
        <f>IFERROR(IF(C259=ROUND(D259+SUM(F259:G259),0)," "," Стр. 253, Гр. 1 [C259]  д.б. = [Окр(D259+Сум(F259:G259),0)] {" &amp; ROUND(D259+SUM(F259:G259),0) &amp; "}.")," ") &amp; IFERROR(IF(H259=ROUND(I259+SUM(K259:L259),0)," "," Стр. 253, Гр. 6 [H259]  д.б. = [Окр(I259+Сум(K259:L259),0)] {" &amp; ROUND(I259+SUM(K259:L259),0) &amp; "}.")," ")</f>
        <v xml:space="preserve">  </v>
      </c>
    </row>
    <row r="261" spans="1:13" x14ac:dyDescent="0.25">
      <c r="A261" s="6" t="s">
        <v>539</v>
      </c>
    </row>
    <row r="262" spans="1:13" ht="75" customHeight="1" x14ac:dyDescent="0.25">
      <c r="A262" s="11" t="s">
        <v>540</v>
      </c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</row>
    <row r="263" spans="1:13" x14ac:dyDescent="0.25">
      <c r="A263" s="6" t="s">
        <v>541</v>
      </c>
    </row>
    <row r="264" spans="1:13" ht="75" customHeight="1" x14ac:dyDescent="0.25">
      <c r="A264" s="9" t="s">
        <v>1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</row>
    <row r="265" spans="1:13" x14ac:dyDescent="0.25">
      <c r="A265" s="6" t="s">
        <v>542</v>
      </c>
    </row>
    <row r="266" spans="1:13" x14ac:dyDescent="0.25">
      <c r="A266" t="s">
        <v>543</v>
      </c>
      <c r="B266" s="9" t="s">
        <v>1</v>
      </c>
      <c r="C266" s="9"/>
      <c r="D266" s="9"/>
      <c r="E266" s="9"/>
    </row>
    <row r="267" spans="1:13" x14ac:dyDescent="0.25">
      <c r="A267" t="s">
        <v>544</v>
      </c>
      <c r="B267" s="9" t="s">
        <v>1</v>
      </c>
      <c r="C267" s="9"/>
      <c r="D267" s="9"/>
      <c r="E267" s="9"/>
    </row>
    <row r="268" spans="1:13" x14ac:dyDescent="0.25">
      <c r="A268" t="s">
        <v>545</v>
      </c>
      <c r="B268" s="9" t="s">
        <v>1</v>
      </c>
      <c r="C268" s="9"/>
      <c r="D268" s="9"/>
      <c r="E268" s="9"/>
    </row>
    <row r="269" spans="1:13" x14ac:dyDescent="0.25">
      <c r="A269" t="s">
        <v>546</v>
      </c>
      <c r="B269" s="9" t="s">
        <v>1</v>
      </c>
      <c r="C269" s="9"/>
      <c r="D269" s="9"/>
      <c r="E269" s="9"/>
    </row>
    <row r="270" spans="1:13" x14ac:dyDescent="0.25">
      <c r="A270" t="s">
        <v>547</v>
      </c>
      <c r="B270" s="9" t="s">
        <v>1</v>
      </c>
      <c r="C270" s="9"/>
      <c r="D270" s="9"/>
      <c r="E270" s="9"/>
    </row>
  </sheetData>
  <sheetProtection password="CF66" sheet="1" objects="1" scenarios="1" formatColumns="0" formatRows="0"/>
  <mergeCells count="17">
    <mergeCell ref="A1:L1"/>
    <mergeCell ref="A2:A5"/>
    <mergeCell ref="B2:B5"/>
    <mergeCell ref="C2:G2"/>
    <mergeCell ref="H2:L2"/>
    <mergeCell ref="C3:C4"/>
    <mergeCell ref="D3:G3"/>
    <mergeCell ref="H3:H4"/>
    <mergeCell ref="I3:L3"/>
    <mergeCell ref="B268:E268"/>
    <mergeCell ref="B269:E269"/>
    <mergeCell ref="B270:E270"/>
    <mergeCell ref="C6:L6"/>
    <mergeCell ref="A262:L262"/>
    <mergeCell ref="A264:L264"/>
    <mergeCell ref="B266:E266"/>
    <mergeCell ref="B267:E267"/>
  </mergeCells>
  <conditionalFormatting sqref="C7">
    <cfRule type="cellIs" dxfId="1066" priority="1" operator="notEqual">
      <formula>ROUND(C8+C20+C259,0)</formula>
    </cfRule>
  </conditionalFormatting>
  <conditionalFormatting sqref="C7">
    <cfRule type="cellIs" dxfId="1065" priority="2" operator="greaterThan">
      <formula>ROUND(D7+SUM(F7:G7),0)</formula>
    </cfRule>
  </conditionalFormatting>
  <conditionalFormatting sqref="D7">
    <cfRule type="cellIs" dxfId="1064" priority="3" operator="notEqual">
      <formula>ROUND(D8+D20+D259,0)</formula>
    </cfRule>
  </conditionalFormatting>
  <conditionalFormatting sqref="E7">
    <cfRule type="cellIs" dxfId="1063" priority="4" operator="notEqual">
      <formula>ROUND(E8+E20+E259,0)</formula>
    </cfRule>
  </conditionalFormatting>
  <conditionalFormatting sqref="F7">
    <cfRule type="cellIs" dxfId="1062" priority="5" operator="notEqual">
      <formula>ROUND(F8+F20+F259,0)</formula>
    </cfRule>
  </conditionalFormatting>
  <conditionalFormatting sqref="G7">
    <cfRule type="cellIs" dxfId="1061" priority="6" operator="notEqual">
      <formula>ROUND(G8+G20+G259,0)</formula>
    </cfRule>
  </conditionalFormatting>
  <conditionalFormatting sqref="H7">
    <cfRule type="cellIs" dxfId="1060" priority="7" operator="notEqual">
      <formula>ROUND(H8+H20+H26,0)</formula>
    </cfRule>
  </conditionalFormatting>
  <conditionalFormatting sqref="H7">
    <cfRule type="cellIs" dxfId="1059" priority="8" operator="notEqual">
      <formula>ROUND(I7+SUM(K7:L7),0)</formula>
    </cfRule>
  </conditionalFormatting>
  <conditionalFormatting sqref="I7">
    <cfRule type="cellIs" dxfId="1058" priority="9" operator="notEqual">
      <formula>ROUND(I8+I20+I259,0)</formula>
    </cfRule>
  </conditionalFormatting>
  <conditionalFormatting sqref="J7">
    <cfRule type="cellIs" dxfId="1057" priority="10" operator="notEqual">
      <formula>ROUND(J8+J20+J259,0)</formula>
    </cfRule>
  </conditionalFormatting>
  <conditionalFormatting sqref="K7">
    <cfRule type="cellIs" dxfId="1056" priority="11" operator="notEqual">
      <formula>ROUND(K8+K20+K259,0)</formula>
    </cfRule>
  </conditionalFormatting>
  <conditionalFormatting sqref="L7">
    <cfRule type="cellIs" dxfId="1055" priority="12" operator="notEqual">
      <formula>ROUND(L8+L20+L259,0)</formula>
    </cfRule>
  </conditionalFormatting>
  <conditionalFormatting sqref="C8">
    <cfRule type="cellIs" dxfId="1054" priority="13" operator="notEqual">
      <formula>ROUND(SUM(C9:C19),0)</formula>
    </cfRule>
  </conditionalFormatting>
  <conditionalFormatting sqref="C8">
    <cfRule type="cellIs" dxfId="1053" priority="14" operator="notEqual">
      <formula>ROUND(D8+SUM(F8:G8),0)</formula>
    </cfRule>
  </conditionalFormatting>
  <conditionalFormatting sqref="D8">
    <cfRule type="cellIs" dxfId="1052" priority="15" operator="notEqual">
      <formula>ROUND(SUM(D9:D19),0)</formula>
    </cfRule>
  </conditionalFormatting>
  <conditionalFormatting sqref="E8">
    <cfRule type="cellIs" dxfId="1051" priority="16" operator="notEqual">
      <formula>ROUND(SUM(E9:E19),0)</formula>
    </cfRule>
  </conditionalFormatting>
  <conditionalFormatting sqref="F8">
    <cfRule type="cellIs" dxfId="1050" priority="17" operator="notEqual">
      <formula>ROUND(SUM(F9:F19),0)</formula>
    </cfRule>
  </conditionalFormatting>
  <conditionalFormatting sqref="G8">
    <cfRule type="cellIs" dxfId="1049" priority="18" operator="notEqual">
      <formula>ROUND(SUM(G9:G19),0)</formula>
    </cfRule>
  </conditionalFormatting>
  <conditionalFormatting sqref="H8">
    <cfRule type="cellIs" dxfId="1048" priority="19" operator="notEqual">
      <formula>ROUND(SUM(H9:H19),0)</formula>
    </cfRule>
  </conditionalFormatting>
  <conditionalFormatting sqref="H8">
    <cfRule type="cellIs" dxfId="1047" priority="20" operator="notEqual">
      <formula>ROUND(I8+SUM(K8:L8),0)</formula>
    </cfRule>
  </conditionalFormatting>
  <conditionalFormatting sqref="I8">
    <cfRule type="cellIs" dxfId="1046" priority="21" operator="notEqual">
      <formula>ROUND(SUM(I9:I19),0)</formula>
    </cfRule>
  </conditionalFormatting>
  <conditionalFormatting sqref="J8">
    <cfRule type="cellIs" dxfId="1045" priority="22" operator="notEqual">
      <formula>ROUND(SUM(J9:J19),0)</formula>
    </cfRule>
  </conditionalFormatting>
  <conditionalFormatting sqref="K8">
    <cfRule type="cellIs" dxfId="1044" priority="23" operator="notEqual">
      <formula>ROUND(SUM(K9:K19),0)</formula>
    </cfRule>
  </conditionalFormatting>
  <conditionalFormatting sqref="L8">
    <cfRule type="cellIs" dxfId="1043" priority="24" operator="notEqual">
      <formula>ROUND(SUM(L9:L19),0)</formula>
    </cfRule>
  </conditionalFormatting>
  <conditionalFormatting sqref="C9">
    <cfRule type="cellIs" dxfId="1042" priority="25" operator="notEqual">
      <formula>ROUND(D9+SUM(F9:G9),0)</formula>
    </cfRule>
  </conditionalFormatting>
  <conditionalFormatting sqref="H9">
    <cfRule type="cellIs" dxfId="1041" priority="26" operator="notEqual">
      <formula>ROUND(I9+SUM(K9:L9),0)</formula>
    </cfRule>
  </conditionalFormatting>
  <conditionalFormatting sqref="C10">
    <cfRule type="cellIs" dxfId="1040" priority="27" operator="notEqual">
      <formula>ROUND(D10+SUM(F10:G10),0)</formula>
    </cfRule>
  </conditionalFormatting>
  <conditionalFormatting sqref="H10">
    <cfRule type="cellIs" dxfId="1039" priority="28" operator="notEqual">
      <formula>ROUND(I10+SUM(K10:L10),0)</formula>
    </cfRule>
  </conditionalFormatting>
  <conditionalFormatting sqref="C11">
    <cfRule type="cellIs" dxfId="1038" priority="29" operator="notEqual">
      <formula>ROUND(D11+SUM(F11:G11),0)</formula>
    </cfRule>
  </conditionalFormatting>
  <conditionalFormatting sqref="H11">
    <cfRule type="cellIs" dxfId="1037" priority="30" operator="notEqual">
      <formula>ROUND(I11+SUM(K11:L11),0)</formula>
    </cfRule>
  </conditionalFormatting>
  <conditionalFormatting sqref="C12">
    <cfRule type="cellIs" dxfId="1036" priority="31" operator="notEqual">
      <formula>ROUND(D12+SUM(F12:G12),0)</formula>
    </cfRule>
  </conditionalFormatting>
  <conditionalFormatting sqref="H12">
    <cfRule type="cellIs" dxfId="1035" priority="32" operator="notEqual">
      <formula>ROUND(I12+SUM(K12:L12),0)</formula>
    </cfRule>
  </conditionalFormatting>
  <conditionalFormatting sqref="C13">
    <cfRule type="cellIs" dxfId="1034" priority="33" operator="notEqual">
      <formula>ROUND(D13+SUM(F13:G13),0)</formula>
    </cfRule>
  </conditionalFormatting>
  <conditionalFormatting sqref="H13">
    <cfRule type="cellIs" dxfId="1033" priority="34" operator="notEqual">
      <formula>ROUND(I13+SUM(K13:L13),0)</formula>
    </cfRule>
  </conditionalFormatting>
  <conditionalFormatting sqref="C14">
    <cfRule type="cellIs" dxfId="1032" priority="35" operator="notEqual">
      <formula>ROUND(D14+SUM(F14:G14),0)</formula>
    </cfRule>
  </conditionalFormatting>
  <conditionalFormatting sqref="H14">
    <cfRule type="cellIs" dxfId="1031" priority="36" operator="notEqual">
      <formula>ROUND(I14+SUM(K14:L14),0)</formula>
    </cfRule>
  </conditionalFormatting>
  <conditionalFormatting sqref="C15">
    <cfRule type="cellIs" dxfId="1030" priority="37" operator="notEqual">
      <formula>ROUND(D15+SUM(F15:G15),0)</formula>
    </cfRule>
  </conditionalFormatting>
  <conditionalFormatting sqref="H15">
    <cfRule type="cellIs" dxfId="1029" priority="38" operator="notEqual">
      <formula>ROUND(I15+SUM(K15:L15),0)</formula>
    </cfRule>
  </conditionalFormatting>
  <conditionalFormatting sqref="C16">
    <cfRule type="cellIs" dxfId="1028" priority="39" operator="notEqual">
      <formula>ROUND(D16+SUM(F16:G16),0)</formula>
    </cfRule>
  </conditionalFormatting>
  <conditionalFormatting sqref="H16">
    <cfRule type="cellIs" dxfId="1027" priority="40" operator="notEqual">
      <formula>ROUND(I16+SUM(K16:L16),0)</formula>
    </cfRule>
  </conditionalFormatting>
  <conditionalFormatting sqref="C17">
    <cfRule type="cellIs" dxfId="1026" priority="41" operator="notEqual">
      <formula>ROUND(D17+SUM(F17:G17),0)</formula>
    </cfRule>
  </conditionalFormatting>
  <conditionalFormatting sqref="H17">
    <cfRule type="cellIs" dxfId="1025" priority="42" operator="notEqual">
      <formula>ROUND(I17+SUM(K17:L17),0)</formula>
    </cfRule>
  </conditionalFormatting>
  <conditionalFormatting sqref="C18">
    <cfRule type="cellIs" dxfId="1024" priority="43" operator="notEqual">
      <formula>ROUND(D18+SUM(F18:G18),0)</formula>
    </cfRule>
  </conditionalFormatting>
  <conditionalFormatting sqref="H18">
    <cfRule type="cellIs" dxfId="1023" priority="44" operator="notEqual">
      <formula>ROUND(I18+SUM(K18:L18),0)</formula>
    </cfRule>
  </conditionalFormatting>
  <conditionalFormatting sqref="C19">
    <cfRule type="cellIs" dxfId="1022" priority="45" operator="notEqual">
      <formula>ROUND(D19+SUM(F19:G19),0)</formula>
    </cfRule>
  </conditionalFormatting>
  <conditionalFormatting sqref="H19">
    <cfRule type="cellIs" dxfId="1021" priority="46" operator="notEqual">
      <formula>ROUND(I19+SUM(K19:L19),0)</formula>
    </cfRule>
  </conditionalFormatting>
  <conditionalFormatting sqref="C20">
    <cfRule type="cellIs" dxfId="1020" priority="47" operator="notEqual">
      <formula>ROUND(SUM(C21:C258),0)</formula>
    </cfRule>
  </conditionalFormatting>
  <conditionalFormatting sqref="C20">
    <cfRule type="cellIs" dxfId="1019" priority="48" operator="notEqual">
      <formula>ROUND(D20+SUM(F20:G20),0)</formula>
    </cfRule>
  </conditionalFormatting>
  <conditionalFormatting sqref="D20">
    <cfRule type="cellIs" dxfId="1018" priority="49" operator="notEqual">
      <formula>ROUND(SUM(D21:D258),0)</formula>
    </cfRule>
  </conditionalFormatting>
  <conditionalFormatting sqref="E20">
    <cfRule type="cellIs" dxfId="1017" priority="50" operator="notEqual">
      <formula>ROUND(SUM(E21:E258),0)</formula>
    </cfRule>
  </conditionalFormatting>
  <conditionalFormatting sqref="F20">
    <cfRule type="cellIs" dxfId="1016" priority="51" operator="notEqual">
      <formula>ROUND(SUM(F21:F258),0)</formula>
    </cfRule>
  </conditionalFormatting>
  <conditionalFormatting sqref="G20">
    <cfRule type="cellIs" dxfId="1015" priority="52" operator="notEqual">
      <formula>ROUND(SUM(G21:G258),0)</formula>
    </cfRule>
  </conditionalFormatting>
  <conditionalFormatting sqref="H20">
    <cfRule type="cellIs" dxfId="1014" priority="53" operator="notEqual">
      <formula>ROUND(SUM(H21:H258),0)</formula>
    </cfRule>
  </conditionalFormatting>
  <conditionalFormatting sqref="H20">
    <cfRule type="cellIs" dxfId="1013" priority="54" operator="notEqual">
      <formula>ROUND(I20+SUM(K20:L20),0)</formula>
    </cfRule>
  </conditionalFormatting>
  <conditionalFormatting sqref="I20">
    <cfRule type="cellIs" dxfId="1012" priority="55" operator="notEqual">
      <formula>ROUND(SUM(I21:I258),0)</formula>
    </cfRule>
  </conditionalFormatting>
  <conditionalFormatting sqref="J20">
    <cfRule type="cellIs" dxfId="1011" priority="56" operator="notEqual">
      <formula>ROUND(SUM(J21:J258),0)</formula>
    </cfRule>
  </conditionalFormatting>
  <conditionalFormatting sqref="K20">
    <cfRule type="cellIs" dxfId="1010" priority="57" operator="notEqual">
      <formula>ROUND(SUM(K21:K258),0)</formula>
    </cfRule>
  </conditionalFormatting>
  <conditionalFormatting sqref="L20">
    <cfRule type="cellIs" dxfId="1009" priority="58" operator="notEqual">
      <formula>ROUND(SUM(L21:L258),0)</formula>
    </cfRule>
  </conditionalFormatting>
  <conditionalFormatting sqref="C21">
    <cfRule type="cellIs" dxfId="1008" priority="59" operator="notEqual">
      <formula>ROUND(D21+SUM(F21:G21),0)</formula>
    </cfRule>
  </conditionalFormatting>
  <conditionalFormatting sqref="H21">
    <cfRule type="cellIs" dxfId="1007" priority="60" operator="notEqual">
      <formula>ROUND(I21+SUM(K21:L21),0)</formula>
    </cfRule>
  </conditionalFormatting>
  <conditionalFormatting sqref="C22">
    <cfRule type="cellIs" dxfId="1006" priority="61" operator="notEqual">
      <formula>ROUND(D22+SUM(F22:G22),0)</formula>
    </cfRule>
  </conditionalFormatting>
  <conditionalFormatting sqref="H22">
    <cfRule type="cellIs" dxfId="1005" priority="62" operator="notEqual">
      <formula>ROUND(I22+SUM(K22:L22),0)</formula>
    </cfRule>
  </conditionalFormatting>
  <conditionalFormatting sqref="C23">
    <cfRule type="cellIs" dxfId="1004" priority="63" operator="notEqual">
      <formula>ROUND(D23+SUM(F23:G23),0)</formula>
    </cfRule>
  </conditionalFormatting>
  <conditionalFormatting sqref="H23">
    <cfRule type="cellIs" dxfId="1003" priority="64" operator="notEqual">
      <formula>ROUND(I23+SUM(K23:L23),0)</formula>
    </cfRule>
  </conditionalFormatting>
  <conditionalFormatting sqref="C24">
    <cfRule type="cellIs" dxfId="1002" priority="65" operator="notEqual">
      <formula>ROUND(D24+SUM(F24:G24),0)</formula>
    </cfRule>
  </conditionalFormatting>
  <conditionalFormatting sqref="H24">
    <cfRule type="cellIs" dxfId="1001" priority="66" operator="notEqual">
      <formula>ROUND(I24+SUM(K24:L24),0)</formula>
    </cfRule>
  </conditionalFormatting>
  <conditionalFormatting sqref="C25">
    <cfRule type="cellIs" dxfId="1000" priority="67" operator="notEqual">
      <formula>ROUND(D25+SUM(F25:G25),0)</formula>
    </cfRule>
  </conditionalFormatting>
  <conditionalFormatting sqref="H25">
    <cfRule type="cellIs" dxfId="999" priority="68" operator="notEqual">
      <formula>ROUND(I25+SUM(K25:L25),0)</formula>
    </cfRule>
  </conditionalFormatting>
  <conditionalFormatting sqref="C26">
    <cfRule type="cellIs" dxfId="998" priority="69" operator="notEqual">
      <formula>ROUND(D26+SUM(F26:G26),0)</formula>
    </cfRule>
  </conditionalFormatting>
  <conditionalFormatting sqref="H26">
    <cfRule type="cellIs" dxfId="997" priority="70" operator="notEqual">
      <formula>ROUND(I26+SUM(K26:L26),0)</formula>
    </cfRule>
  </conditionalFormatting>
  <conditionalFormatting sqref="C27">
    <cfRule type="cellIs" dxfId="996" priority="71" operator="notEqual">
      <formula>ROUND(D27+SUM(F27:G27),0)</formula>
    </cfRule>
  </conditionalFormatting>
  <conditionalFormatting sqref="H27">
    <cfRule type="cellIs" dxfId="995" priority="72" operator="notEqual">
      <formula>ROUND(I27+SUM(K27:L27),0)</formula>
    </cfRule>
  </conditionalFormatting>
  <conditionalFormatting sqref="C28">
    <cfRule type="cellIs" dxfId="994" priority="73" operator="notEqual">
      <formula>ROUND(D28+SUM(F28:G28),0)</formula>
    </cfRule>
  </conditionalFormatting>
  <conditionalFormatting sqref="H28">
    <cfRule type="cellIs" dxfId="993" priority="74" operator="notEqual">
      <formula>ROUND(I28+SUM(K28:L28),0)</formula>
    </cfRule>
  </conditionalFormatting>
  <conditionalFormatting sqref="C29">
    <cfRule type="cellIs" dxfId="992" priority="75" operator="notEqual">
      <formula>ROUND(D29+SUM(F29:G29),0)</formula>
    </cfRule>
  </conditionalFormatting>
  <conditionalFormatting sqref="H29">
    <cfRule type="cellIs" dxfId="991" priority="76" operator="notEqual">
      <formula>ROUND(I29+SUM(K29:L29),0)</formula>
    </cfRule>
  </conditionalFormatting>
  <conditionalFormatting sqref="C30">
    <cfRule type="cellIs" dxfId="990" priority="77" operator="notEqual">
      <formula>ROUND(D30+SUM(F30:G30),0)</formula>
    </cfRule>
  </conditionalFormatting>
  <conditionalFormatting sqref="H30">
    <cfRule type="cellIs" dxfId="989" priority="78" operator="notEqual">
      <formula>ROUND(I30+SUM(K30:L30),0)</formula>
    </cfRule>
  </conditionalFormatting>
  <conditionalFormatting sqref="C31">
    <cfRule type="cellIs" dxfId="988" priority="79" operator="notEqual">
      <formula>ROUND(D31+SUM(F31:G31),0)</formula>
    </cfRule>
  </conditionalFormatting>
  <conditionalFormatting sqref="H31">
    <cfRule type="cellIs" dxfId="987" priority="80" operator="notEqual">
      <formula>ROUND(I31+SUM(K31:L31),0)</formula>
    </cfRule>
  </conditionalFormatting>
  <conditionalFormatting sqref="C32">
    <cfRule type="cellIs" dxfId="986" priority="81" operator="notEqual">
      <formula>ROUND(D32+SUM(F32:G32),0)</formula>
    </cfRule>
  </conditionalFormatting>
  <conditionalFormatting sqref="H32">
    <cfRule type="cellIs" dxfId="985" priority="82" operator="notEqual">
      <formula>ROUND(I32+SUM(K32:L32),0)</formula>
    </cfRule>
  </conditionalFormatting>
  <conditionalFormatting sqref="C33">
    <cfRule type="cellIs" dxfId="984" priority="83" operator="notEqual">
      <formula>ROUND(D33+SUM(F33:G33),0)</formula>
    </cfRule>
  </conditionalFormatting>
  <conditionalFormatting sqref="H33">
    <cfRule type="cellIs" dxfId="983" priority="84" operator="notEqual">
      <formula>ROUND(I33+SUM(K33:L33),0)</formula>
    </cfRule>
  </conditionalFormatting>
  <conditionalFormatting sqref="C34">
    <cfRule type="cellIs" dxfId="982" priority="85" operator="notEqual">
      <formula>ROUND(D34+SUM(F34:G34),0)</formula>
    </cfRule>
  </conditionalFormatting>
  <conditionalFormatting sqref="H34">
    <cfRule type="cellIs" dxfId="981" priority="86" operator="notEqual">
      <formula>ROUND(I34+SUM(K34:L34),0)</formula>
    </cfRule>
  </conditionalFormatting>
  <conditionalFormatting sqref="C35">
    <cfRule type="cellIs" dxfId="980" priority="87" operator="notEqual">
      <formula>ROUND(D35+SUM(F35:G35),0)</formula>
    </cfRule>
  </conditionalFormatting>
  <conditionalFormatting sqref="H35">
    <cfRule type="cellIs" dxfId="979" priority="88" operator="notEqual">
      <formula>ROUND(I35+SUM(K35:L35),0)</formula>
    </cfRule>
  </conditionalFormatting>
  <conditionalFormatting sqref="C36">
    <cfRule type="cellIs" dxfId="978" priority="89" operator="notEqual">
      <formula>ROUND(D36+SUM(F36:G36),0)</formula>
    </cfRule>
  </conditionalFormatting>
  <conditionalFormatting sqref="H36">
    <cfRule type="cellIs" dxfId="977" priority="90" operator="notEqual">
      <formula>ROUND(I36+SUM(K36:L36),0)</formula>
    </cfRule>
  </conditionalFormatting>
  <conditionalFormatting sqref="C37">
    <cfRule type="cellIs" dxfId="976" priority="91" operator="notEqual">
      <formula>ROUND(D37+SUM(F37:G37),0)</formula>
    </cfRule>
  </conditionalFormatting>
  <conditionalFormatting sqref="H37">
    <cfRule type="cellIs" dxfId="975" priority="92" operator="notEqual">
      <formula>ROUND(I37+SUM(K37:L37),0)</formula>
    </cfRule>
  </conditionalFormatting>
  <conditionalFormatting sqref="C38">
    <cfRule type="cellIs" dxfId="974" priority="93" operator="notEqual">
      <formula>ROUND(D38+SUM(F38:G38),0)</formula>
    </cfRule>
  </conditionalFormatting>
  <conditionalFormatting sqref="H38">
    <cfRule type="cellIs" dxfId="973" priority="94" operator="notEqual">
      <formula>ROUND(I38+SUM(K38:L38),0)</formula>
    </cfRule>
  </conditionalFormatting>
  <conditionalFormatting sqref="C39">
    <cfRule type="cellIs" dxfId="972" priority="95" operator="notEqual">
      <formula>ROUND(D39+SUM(F39:G39),0)</formula>
    </cfRule>
  </conditionalFormatting>
  <conditionalFormatting sqref="H39">
    <cfRule type="cellIs" dxfId="971" priority="96" operator="notEqual">
      <formula>ROUND(I39+SUM(K39:L39),0)</formula>
    </cfRule>
  </conditionalFormatting>
  <conditionalFormatting sqref="C40">
    <cfRule type="cellIs" dxfId="970" priority="97" operator="notEqual">
      <formula>ROUND(D40+SUM(F40:G40),0)</formula>
    </cfRule>
  </conditionalFormatting>
  <conditionalFormatting sqref="H40">
    <cfRule type="cellIs" dxfId="969" priority="98" operator="notEqual">
      <formula>ROUND(I40+SUM(K40:L40),0)</formula>
    </cfRule>
  </conditionalFormatting>
  <conditionalFormatting sqref="C41">
    <cfRule type="cellIs" dxfId="968" priority="99" operator="notEqual">
      <formula>ROUND(D41+SUM(F41:G41),0)</formula>
    </cfRule>
  </conditionalFormatting>
  <conditionalFormatting sqref="H41">
    <cfRule type="cellIs" dxfId="967" priority="100" operator="notEqual">
      <formula>ROUND(I41+SUM(K41:L41),0)</formula>
    </cfRule>
  </conditionalFormatting>
  <conditionalFormatting sqref="C42">
    <cfRule type="cellIs" dxfId="966" priority="101" operator="notEqual">
      <formula>ROUND(D42+SUM(F42:G42),0)</formula>
    </cfRule>
  </conditionalFormatting>
  <conditionalFormatting sqref="H42">
    <cfRule type="cellIs" dxfId="965" priority="102" operator="notEqual">
      <formula>ROUND(I42+SUM(K42:L42),0)</formula>
    </cfRule>
  </conditionalFormatting>
  <conditionalFormatting sqref="C43">
    <cfRule type="cellIs" dxfId="964" priority="103" operator="notEqual">
      <formula>ROUND(D43+SUM(F43:G43),0)</formula>
    </cfRule>
  </conditionalFormatting>
  <conditionalFormatting sqref="H43">
    <cfRule type="cellIs" dxfId="963" priority="104" operator="notEqual">
      <formula>ROUND(I43+SUM(K43:L43),0)</formula>
    </cfRule>
  </conditionalFormatting>
  <conditionalFormatting sqref="C44">
    <cfRule type="cellIs" dxfId="962" priority="105" operator="notEqual">
      <formula>ROUND(D44+SUM(F44:G44),0)</formula>
    </cfRule>
  </conditionalFormatting>
  <conditionalFormatting sqref="H44">
    <cfRule type="cellIs" dxfId="961" priority="106" operator="notEqual">
      <formula>ROUND(I44+SUM(K44:L44),0)</formula>
    </cfRule>
  </conditionalFormatting>
  <conditionalFormatting sqref="C45">
    <cfRule type="cellIs" dxfId="960" priority="107" operator="notEqual">
      <formula>ROUND(D45+SUM(F45:G45),0)</formula>
    </cfRule>
  </conditionalFormatting>
  <conditionalFormatting sqref="H45">
    <cfRule type="cellIs" dxfId="959" priority="108" operator="notEqual">
      <formula>ROUND(I45+SUM(K45:L45),0)</formula>
    </cfRule>
  </conditionalFormatting>
  <conditionalFormatting sqref="C46">
    <cfRule type="cellIs" dxfId="958" priority="109" operator="notEqual">
      <formula>ROUND(D46+SUM(F46:G46),0)</formula>
    </cfRule>
  </conditionalFormatting>
  <conditionalFormatting sqref="H46">
    <cfRule type="cellIs" dxfId="957" priority="110" operator="notEqual">
      <formula>ROUND(I46+SUM(K46:L46),0)</formula>
    </cfRule>
  </conditionalFormatting>
  <conditionalFormatting sqref="C47">
    <cfRule type="cellIs" dxfId="956" priority="111" operator="notEqual">
      <formula>ROUND(D47+SUM(F47:G47),0)</formula>
    </cfRule>
  </conditionalFormatting>
  <conditionalFormatting sqref="H47">
    <cfRule type="cellIs" dxfId="955" priority="112" operator="notEqual">
      <formula>ROUND(I47+SUM(K47:L47),0)</formula>
    </cfRule>
  </conditionalFormatting>
  <conditionalFormatting sqref="C48">
    <cfRule type="cellIs" dxfId="954" priority="113" operator="notEqual">
      <formula>ROUND(D48+SUM(F48:G48),0)</formula>
    </cfRule>
  </conditionalFormatting>
  <conditionalFormatting sqref="H48">
    <cfRule type="cellIs" dxfId="953" priority="114" operator="notEqual">
      <formula>ROUND(I48+SUM(K48:L48),0)</formula>
    </cfRule>
  </conditionalFormatting>
  <conditionalFormatting sqref="C49">
    <cfRule type="cellIs" dxfId="952" priority="115" operator="notEqual">
      <formula>ROUND(D49+SUM(F49:G49),0)</formula>
    </cfRule>
  </conditionalFormatting>
  <conditionalFormatting sqref="H49">
    <cfRule type="cellIs" dxfId="951" priority="116" operator="notEqual">
      <formula>ROUND(I49+SUM(K49:L49),0)</formula>
    </cfRule>
  </conditionalFormatting>
  <conditionalFormatting sqref="C50">
    <cfRule type="cellIs" dxfId="950" priority="117" operator="notEqual">
      <formula>ROUND(D50+SUM(F50:G50),0)</formula>
    </cfRule>
  </conditionalFormatting>
  <conditionalFormatting sqref="H50">
    <cfRule type="cellIs" dxfId="949" priority="118" operator="notEqual">
      <formula>ROUND(I50+SUM(K50:L50),0)</formula>
    </cfRule>
  </conditionalFormatting>
  <conditionalFormatting sqref="C51">
    <cfRule type="cellIs" dxfId="948" priority="119" operator="notEqual">
      <formula>ROUND(D51+SUM(F51:G51),0)</formula>
    </cfRule>
  </conditionalFormatting>
  <conditionalFormatting sqref="H51">
    <cfRule type="cellIs" dxfId="947" priority="120" operator="notEqual">
      <formula>ROUND(I51+SUM(K51:L51),0)</formula>
    </cfRule>
  </conditionalFormatting>
  <conditionalFormatting sqref="C52">
    <cfRule type="cellIs" dxfId="946" priority="121" operator="notEqual">
      <formula>ROUND(D52+SUM(F52:G52),0)</formula>
    </cfRule>
  </conditionalFormatting>
  <conditionalFormatting sqref="H52">
    <cfRule type="cellIs" dxfId="945" priority="122" operator="notEqual">
      <formula>ROUND(I52+SUM(K52:L52),0)</formula>
    </cfRule>
  </conditionalFormatting>
  <conditionalFormatting sqref="C53">
    <cfRule type="cellIs" dxfId="944" priority="123" operator="notEqual">
      <formula>ROUND(D53+SUM(F53:G53),0)</formula>
    </cfRule>
  </conditionalFormatting>
  <conditionalFormatting sqref="H53">
    <cfRule type="cellIs" dxfId="943" priority="124" operator="notEqual">
      <formula>ROUND(I53+SUM(K53:L53),0)</formula>
    </cfRule>
  </conditionalFormatting>
  <conditionalFormatting sqref="C54">
    <cfRule type="cellIs" dxfId="942" priority="125" operator="notEqual">
      <formula>ROUND(D54+SUM(F54:G54),0)</formula>
    </cfRule>
  </conditionalFormatting>
  <conditionalFormatting sqref="H54">
    <cfRule type="cellIs" dxfId="941" priority="126" operator="notEqual">
      <formula>ROUND(I54+SUM(K54:L54),0)</formula>
    </cfRule>
  </conditionalFormatting>
  <conditionalFormatting sqref="C55">
    <cfRule type="cellIs" dxfId="940" priority="127" operator="notEqual">
      <formula>ROUND(D55+SUM(F55:G55),0)</formula>
    </cfRule>
  </conditionalFormatting>
  <conditionalFormatting sqref="H55">
    <cfRule type="cellIs" dxfId="939" priority="128" operator="notEqual">
      <formula>ROUND(I55+SUM(K55:L55),0)</formula>
    </cfRule>
  </conditionalFormatting>
  <conditionalFormatting sqref="C56">
    <cfRule type="cellIs" dxfId="938" priority="129" operator="notEqual">
      <formula>ROUND(D56+SUM(F56:G56),0)</formula>
    </cfRule>
  </conditionalFormatting>
  <conditionalFormatting sqref="H56">
    <cfRule type="cellIs" dxfId="937" priority="130" operator="notEqual">
      <formula>ROUND(I56+SUM(K56:L56),0)</formula>
    </cfRule>
  </conditionalFormatting>
  <conditionalFormatting sqref="C57">
    <cfRule type="cellIs" dxfId="936" priority="131" operator="notEqual">
      <formula>ROUND(D57+SUM(F57:G57),0)</formula>
    </cfRule>
  </conditionalFormatting>
  <conditionalFormatting sqref="H57">
    <cfRule type="cellIs" dxfId="935" priority="132" operator="notEqual">
      <formula>ROUND(I57+SUM(K57:L57),0)</formula>
    </cfRule>
  </conditionalFormatting>
  <conditionalFormatting sqref="C58">
    <cfRule type="cellIs" dxfId="934" priority="133" operator="notEqual">
      <formula>ROUND(D58+SUM(F58:G58),0)</formula>
    </cfRule>
  </conditionalFormatting>
  <conditionalFormatting sqref="H58">
    <cfRule type="cellIs" dxfId="933" priority="134" operator="notEqual">
      <formula>ROUND(I58+SUM(K58:L58),0)</formula>
    </cfRule>
  </conditionalFormatting>
  <conditionalFormatting sqref="C59">
    <cfRule type="cellIs" dxfId="932" priority="135" operator="notEqual">
      <formula>ROUND(D59+SUM(F59:G59),0)</formula>
    </cfRule>
  </conditionalFormatting>
  <conditionalFormatting sqref="H59">
    <cfRule type="cellIs" dxfId="931" priority="136" operator="notEqual">
      <formula>ROUND(I59+SUM(K59:L59),0)</formula>
    </cfRule>
  </conditionalFormatting>
  <conditionalFormatting sqref="C60">
    <cfRule type="cellIs" dxfId="930" priority="137" operator="notEqual">
      <formula>ROUND(D60+SUM(F60:G60),0)</formula>
    </cfRule>
  </conditionalFormatting>
  <conditionalFormatting sqref="H60">
    <cfRule type="cellIs" dxfId="929" priority="138" operator="notEqual">
      <formula>ROUND(I60+SUM(K60:L60),0)</formula>
    </cfRule>
  </conditionalFormatting>
  <conditionalFormatting sqref="C61">
    <cfRule type="cellIs" dxfId="928" priority="139" operator="notEqual">
      <formula>ROUND(D61+SUM(F61:G61),0)</formula>
    </cfRule>
  </conditionalFormatting>
  <conditionalFormatting sqref="H61">
    <cfRule type="cellIs" dxfId="927" priority="140" operator="notEqual">
      <formula>ROUND(I61+SUM(K61:L61),0)</formula>
    </cfRule>
  </conditionalFormatting>
  <conditionalFormatting sqref="C62">
    <cfRule type="cellIs" dxfId="926" priority="141" operator="notEqual">
      <formula>ROUND(D62+SUM(F62:G62),0)</formula>
    </cfRule>
  </conditionalFormatting>
  <conditionalFormatting sqref="H62">
    <cfRule type="cellIs" dxfId="925" priority="142" operator="notEqual">
      <formula>ROUND(I62+SUM(K62:L62),0)</formula>
    </cfRule>
  </conditionalFormatting>
  <conditionalFormatting sqref="C63">
    <cfRule type="cellIs" dxfId="924" priority="143" operator="notEqual">
      <formula>ROUND(D63+SUM(F63:G63),0)</formula>
    </cfRule>
  </conditionalFormatting>
  <conditionalFormatting sqref="H63">
    <cfRule type="cellIs" dxfId="923" priority="144" operator="notEqual">
      <formula>ROUND(I63+SUM(K63:L63),0)</formula>
    </cfRule>
  </conditionalFormatting>
  <conditionalFormatting sqref="C64">
    <cfRule type="cellIs" dxfId="922" priority="145" operator="notEqual">
      <formula>ROUND(D64+SUM(F64:G64),0)</formula>
    </cfRule>
  </conditionalFormatting>
  <conditionalFormatting sqref="H64">
    <cfRule type="cellIs" dxfId="921" priority="146" operator="notEqual">
      <formula>ROUND(I64+SUM(K64:L64),0)</formula>
    </cfRule>
  </conditionalFormatting>
  <conditionalFormatting sqref="C65">
    <cfRule type="cellIs" dxfId="920" priority="147" operator="notEqual">
      <formula>ROUND(D65+SUM(F65:G65),0)</formula>
    </cfRule>
  </conditionalFormatting>
  <conditionalFormatting sqref="H65">
    <cfRule type="cellIs" dxfId="919" priority="148" operator="notEqual">
      <formula>ROUND(I65+SUM(K65:L65),0)</formula>
    </cfRule>
  </conditionalFormatting>
  <conditionalFormatting sqref="C66">
    <cfRule type="cellIs" dxfId="918" priority="149" operator="notEqual">
      <formula>ROUND(D66+SUM(F66:G66),0)</formula>
    </cfRule>
  </conditionalFormatting>
  <conditionalFormatting sqref="H66">
    <cfRule type="cellIs" dxfId="917" priority="150" operator="notEqual">
      <formula>ROUND(I66+SUM(K66:L66),0)</formula>
    </cfRule>
  </conditionalFormatting>
  <conditionalFormatting sqref="C67">
    <cfRule type="cellIs" dxfId="916" priority="151" operator="notEqual">
      <formula>ROUND(D67+SUM(F67:G67),0)</formula>
    </cfRule>
  </conditionalFormatting>
  <conditionalFormatting sqref="H67">
    <cfRule type="cellIs" dxfId="915" priority="152" operator="notEqual">
      <formula>ROUND(I67+SUM(K67:L67),0)</formula>
    </cfRule>
  </conditionalFormatting>
  <conditionalFormatting sqref="C68">
    <cfRule type="cellIs" dxfId="914" priority="153" operator="notEqual">
      <formula>ROUND(D68+SUM(F68:G68),0)</formula>
    </cfRule>
  </conditionalFormatting>
  <conditionalFormatting sqref="H68">
    <cfRule type="cellIs" dxfId="913" priority="154" operator="notEqual">
      <formula>ROUND(I68+SUM(K68:L68),0)</formula>
    </cfRule>
  </conditionalFormatting>
  <conditionalFormatting sqref="C69">
    <cfRule type="cellIs" dxfId="912" priority="155" operator="notEqual">
      <formula>ROUND(D69+SUM(F69:G69),0)</formula>
    </cfRule>
  </conditionalFormatting>
  <conditionalFormatting sqref="H69">
    <cfRule type="cellIs" dxfId="911" priority="156" operator="notEqual">
      <formula>ROUND(I69+SUM(K69:L69),0)</formula>
    </cfRule>
  </conditionalFormatting>
  <conditionalFormatting sqref="C70">
    <cfRule type="cellIs" dxfId="910" priority="157" operator="notEqual">
      <formula>ROUND(D70+SUM(F70:G70),0)</formula>
    </cfRule>
  </conditionalFormatting>
  <conditionalFormatting sqref="H70">
    <cfRule type="cellIs" dxfId="909" priority="158" operator="notEqual">
      <formula>ROUND(I70+SUM(K70:L70),0)</formula>
    </cfRule>
  </conditionalFormatting>
  <conditionalFormatting sqref="C71">
    <cfRule type="cellIs" dxfId="908" priority="159" operator="notEqual">
      <formula>ROUND(D71+SUM(F71:G71),0)</formula>
    </cfRule>
  </conditionalFormatting>
  <conditionalFormatting sqref="H71">
    <cfRule type="cellIs" dxfId="907" priority="160" operator="notEqual">
      <formula>ROUND(I71+SUM(K71:L71),0)</formula>
    </cfRule>
  </conditionalFormatting>
  <conditionalFormatting sqref="C72">
    <cfRule type="cellIs" dxfId="906" priority="161" operator="notEqual">
      <formula>ROUND(D72+SUM(F72:G72),0)</formula>
    </cfRule>
  </conditionalFormatting>
  <conditionalFormatting sqref="H72">
    <cfRule type="cellIs" dxfId="905" priority="162" operator="notEqual">
      <formula>ROUND(I72+SUM(K72:L72),0)</formula>
    </cfRule>
  </conditionalFormatting>
  <conditionalFormatting sqref="C73">
    <cfRule type="cellIs" dxfId="904" priority="163" operator="notEqual">
      <formula>ROUND(D73+SUM(F73:G73),0)</formula>
    </cfRule>
  </conditionalFormatting>
  <conditionalFormatting sqref="H73">
    <cfRule type="cellIs" dxfId="903" priority="164" operator="notEqual">
      <formula>ROUND(I73+SUM(K73:L73),0)</formula>
    </cfRule>
  </conditionalFormatting>
  <conditionalFormatting sqref="C74">
    <cfRule type="cellIs" dxfId="902" priority="165" operator="notEqual">
      <formula>ROUND(D74+SUM(F74:G74),0)</formula>
    </cfRule>
  </conditionalFormatting>
  <conditionalFormatting sqref="H74">
    <cfRule type="cellIs" dxfId="901" priority="166" operator="notEqual">
      <formula>ROUND(I74+SUM(K74:L74),0)</formula>
    </cfRule>
  </conditionalFormatting>
  <conditionalFormatting sqref="C75">
    <cfRule type="cellIs" dxfId="900" priority="167" operator="notEqual">
      <formula>ROUND(D75+SUM(F75:G75),0)</formula>
    </cfRule>
  </conditionalFormatting>
  <conditionalFormatting sqref="H75">
    <cfRule type="cellIs" dxfId="899" priority="168" operator="notEqual">
      <formula>ROUND(I75+SUM(K75:L75),0)</formula>
    </cfRule>
  </conditionalFormatting>
  <conditionalFormatting sqref="C76">
    <cfRule type="cellIs" dxfId="898" priority="169" operator="notEqual">
      <formula>ROUND(D76+SUM(F76:G76),0)</formula>
    </cfRule>
  </conditionalFormatting>
  <conditionalFormatting sqref="H76">
    <cfRule type="cellIs" dxfId="897" priority="170" operator="notEqual">
      <formula>ROUND(I76+SUM(K76:L76),0)</formula>
    </cfRule>
  </conditionalFormatting>
  <conditionalFormatting sqref="C77">
    <cfRule type="cellIs" dxfId="896" priority="171" operator="notEqual">
      <formula>ROUND(D77+SUM(F77:G77),0)</formula>
    </cfRule>
  </conditionalFormatting>
  <conditionalFormatting sqref="H77">
    <cfRule type="cellIs" dxfId="895" priority="172" operator="notEqual">
      <formula>ROUND(I77+SUM(K77:L77),0)</formula>
    </cfRule>
  </conditionalFormatting>
  <conditionalFormatting sqref="C78">
    <cfRule type="cellIs" dxfId="894" priority="173" operator="notEqual">
      <formula>ROUND(D78+SUM(F78:G78),0)</formula>
    </cfRule>
  </conditionalFormatting>
  <conditionalFormatting sqref="H78">
    <cfRule type="cellIs" dxfId="893" priority="174" operator="notEqual">
      <formula>ROUND(I78+SUM(K78:L78),0)</formula>
    </cfRule>
  </conditionalFormatting>
  <conditionalFormatting sqref="C79">
    <cfRule type="cellIs" dxfId="892" priority="175" operator="notEqual">
      <formula>ROUND(D79+SUM(F79:G79),0)</formula>
    </cfRule>
  </conditionalFormatting>
  <conditionalFormatting sqref="H79">
    <cfRule type="cellIs" dxfId="891" priority="176" operator="notEqual">
      <formula>ROUND(I79+SUM(K79:L79),0)</formula>
    </cfRule>
  </conditionalFormatting>
  <conditionalFormatting sqref="C80">
    <cfRule type="cellIs" dxfId="890" priority="177" operator="notEqual">
      <formula>ROUND(D80+SUM(F80:G80),0)</formula>
    </cfRule>
  </conditionalFormatting>
  <conditionalFormatting sqref="H80">
    <cfRule type="cellIs" dxfId="889" priority="178" operator="notEqual">
      <formula>ROUND(I80+SUM(K80:L80),0)</formula>
    </cfRule>
  </conditionalFormatting>
  <conditionalFormatting sqref="C81">
    <cfRule type="cellIs" dxfId="888" priority="179" operator="notEqual">
      <formula>ROUND(D81+SUM(F81:G81),0)</formula>
    </cfRule>
  </conditionalFormatting>
  <conditionalFormatting sqref="H81">
    <cfRule type="cellIs" dxfId="887" priority="180" operator="notEqual">
      <formula>ROUND(I81+SUM(K81:L81),0)</formula>
    </cfRule>
  </conditionalFormatting>
  <conditionalFormatting sqref="C82">
    <cfRule type="cellIs" dxfId="886" priority="181" operator="notEqual">
      <formula>ROUND(D82+SUM(F82:G82),0)</formula>
    </cfRule>
  </conditionalFormatting>
  <conditionalFormatting sqref="H82">
    <cfRule type="cellIs" dxfId="885" priority="182" operator="notEqual">
      <formula>ROUND(I82+SUM(K82:L82),0)</formula>
    </cfRule>
  </conditionalFormatting>
  <conditionalFormatting sqref="C83">
    <cfRule type="cellIs" dxfId="884" priority="183" operator="notEqual">
      <formula>ROUND(D83+SUM(F83:G83),0)</formula>
    </cfRule>
  </conditionalFormatting>
  <conditionalFormatting sqref="H83">
    <cfRule type="cellIs" dxfId="883" priority="184" operator="notEqual">
      <formula>ROUND(I83+SUM(K83:L83),0)</formula>
    </cfRule>
  </conditionalFormatting>
  <conditionalFormatting sqref="C84">
    <cfRule type="cellIs" dxfId="882" priority="185" operator="notEqual">
      <formula>ROUND(D84+SUM(F84:G84),0)</formula>
    </cfRule>
  </conditionalFormatting>
  <conditionalFormatting sqref="H84">
    <cfRule type="cellIs" dxfId="881" priority="186" operator="notEqual">
      <formula>ROUND(I84+SUM(K84:L84),0)</formula>
    </cfRule>
  </conditionalFormatting>
  <conditionalFormatting sqref="C85">
    <cfRule type="cellIs" dxfId="880" priority="187" operator="notEqual">
      <formula>ROUND(D85+SUM(F85:G85),0)</formula>
    </cfRule>
  </conditionalFormatting>
  <conditionalFormatting sqref="H85">
    <cfRule type="cellIs" dxfId="879" priority="188" operator="notEqual">
      <formula>ROUND(I85+SUM(K85:L85),0)</formula>
    </cfRule>
  </conditionalFormatting>
  <conditionalFormatting sqref="C86">
    <cfRule type="cellIs" dxfId="878" priority="189" operator="notEqual">
      <formula>ROUND(D86+SUM(F86:G86),0)</formula>
    </cfRule>
  </conditionalFormatting>
  <conditionalFormatting sqref="H86">
    <cfRule type="cellIs" dxfId="877" priority="190" operator="notEqual">
      <formula>ROUND(I86+SUM(K86:L86),0)</formula>
    </cfRule>
  </conditionalFormatting>
  <conditionalFormatting sqref="C87">
    <cfRule type="cellIs" dxfId="876" priority="191" operator="notEqual">
      <formula>ROUND(D87+SUM(F87:G87),0)</formula>
    </cfRule>
  </conditionalFormatting>
  <conditionalFormatting sqref="H87">
    <cfRule type="cellIs" dxfId="875" priority="192" operator="notEqual">
      <formula>ROUND(I87+SUM(K87:L87),0)</formula>
    </cfRule>
  </conditionalFormatting>
  <conditionalFormatting sqref="C88">
    <cfRule type="cellIs" dxfId="874" priority="193" operator="notEqual">
      <formula>ROUND(D88+SUM(F88:G88),0)</formula>
    </cfRule>
  </conditionalFormatting>
  <conditionalFormatting sqref="H88">
    <cfRule type="cellIs" dxfId="873" priority="194" operator="notEqual">
      <formula>ROUND(I88+SUM(K88:L88),0)</formula>
    </cfRule>
  </conditionalFormatting>
  <conditionalFormatting sqref="C89">
    <cfRule type="cellIs" dxfId="872" priority="195" operator="notEqual">
      <formula>ROUND(D89+SUM(F89:G89),0)</formula>
    </cfRule>
  </conditionalFormatting>
  <conditionalFormatting sqref="H89">
    <cfRule type="cellIs" dxfId="871" priority="196" operator="notEqual">
      <formula>ROUND(I89+SUM(K89:L89),0)</formula>
    </cfRule>
  </conditionalFormatting>
  <conditionalFormatting sqref="C90">
    <cfRule type="cellIs" dxfId="870" priority="197" operator="notEqual">
      <formula>ROUND(D90+SUM(F90:G90),0)</formula>
    </cfRule>
  </conditionalFormatting>
  <conditionalFormatting sqref="H90">
    <cfRule type="cellIs" dxfId="869" priority="198" operator="notEqual">
      <formula>ROUND(I90+SUM(K90:L90),0)</formula>
    </cfRule>
  </conditionalFormatting>
  <conditionalFormatting sqref="C91">
    <cfRule type="cellIs" dxfId="868" priority="199" operator="notEqual">
      <formula>ROUND(D91+SUM(F91:G91),0)</formula>
    </cfRule>
  </conditionalFormatting>
  <conditionalFormatting sqref="H91">
    <cfRule type="cellIs" dxfId="867" priority="200" operator="notEqual">
      <formula>ROUND(I91+SUM(K91:L91),0)</formula>
    </cfRule>
  </conditionalFormatting>
  <conditionalFormatting sqref="C92">
    <cfRule type="cellIs" dxfId="866" priority="201" operator="notEqual">
      <formula>ROUND(D92+SUM(F92:G92),0)</formula>
    </cfRule>
  </conditionalFormatting>
  <conditionalFormatting sqref="H92">
    <cfRule type="cellIs" dxfId="865" priority="202" operator="notEqual">
      <formula>ROUND(I92+SUM(K92:L92),0)</formula>
    </cfRule>
  </conditionalFormatting>
  <conditionalFormatting sqref="C93">
    <cfRule type="cellIs" dxfId="864" priority="203" operator="notEqual">
      <formula>ROUND(D93+SUM(F93:G93),0)</formula>
    </cfRule>
  </conditionalFormatting>
  <conditionalFormatting sqref="H93">
    <cfRule type="cellIs" dxfId="863" priority="204" operator="notEqual">
      <formula>ROUND(I93+SUM(K93:L93),0)</formula>
    </cfRule>
  </conditionalFormatting>
  <conditionalFormatting sqref="C94">
    <cfRule type="cellIs" dxfId="862" priority="205" operator="notEqual">
      <formula>ROUND(D94+SUM(F94:G94),0)</formula>
    </cfRule>
  </conditionalFormatting>
  <conditionalFormatting sqref="H94">
    <cfRule type="cellIs" dxfId="861" priority="206" operator="notEqual">
      <formula>ROUND(I94+SUM(K94:L94),0)</formula>
    </cfRule>
  </conditionalFormatting>
  <conditionalFormatting sqref="C95">
    <cfRule type="cellIs" dxfId="860" priority="207" operator="notEqual">
      <formula>ROUND(D95+SUM(F95:G95),0)</formula>
    </cfRule>
  </conditionalFormatting>
  <conditionalFormatting sqref="H95">
    <cfRule type="cellIs" dxfId="859" priority="208" operator="notEqual">
      <formula>ROUND(I95+SUM(K95:L95),0)</formula>
    </cfRule>
  </conditionalFormatting>
  <conditionalFormatting sqref="C96">
    <cfRule type="cellIs" dxfId="858" priority="209" operator="notEqual">
      <formula>ROUND(D96+SUM(F96:G96),0)</formula>
    </cfRule>
  </conditionalFormatting>
  <conditionalFormatting sqref="H96">
    <cfRule type="cellIs" dxfId="857" priority="210" operator="notEqual">
      <formula>ROUND(I96+SUM(K96:L96),0)</formula>
    </cfRule>
  </conditionalFormatting>
  <conditionalFormatting sqref="C97">
    <cfRule type="cellIs" dxfId="856" priority="211" operator="notEqual">
      <formula>ROUND(D97+SUM(F97:G97),0)</formula>
    </cfRule>
  </conditionalFormatting>
  <conditionalFormatting sqref="H97">
    <cfRule type="cellIs" dxfId="855" priority="212" operator="notEqual">
      <formula>ROUND(I97+SUM(K97:L97),0)</formula>
    </cfRule>
  </conditionalFormatting>
  <conditionalFormatting sqref="C98">
    <cfRule type="cellIs" dxfId="854" priority="213" operator="notEqual">
      <formula>ROUND(D98+SUM(F98:G98),0)</formula>
    </cfRule>
  </conditionalFormatting>
  <conditionalFormatting sqref="H98">
    <cfRule type="cellIs" dxfId="853" priority="214" operator="notEqual">
      <formula>ROUND(I98+SUM(K98:L98),0)</formula>
    </cfRule>
  </conditionalFormatting>
  <conditionalFormatting sqref="C99">
    <cfRule type="cellIs" dxfId="852" priority="215" operator="notEqual">
      <formula>ROUND(D99+SUM(F99:G99),0)</formula>
    </cfRule>
  </conditionalFormatting>
  <conditionalFormatting sqref="H99">
    <cfRule type="cellIs" dxfId="851" priority="216" operator="notEqual">
      <formula>ROUND(I99+SUM(K99:L99),0)</formula>
    </cfRule>
  </conditionalFormatting>
  <conditionalFormatting sqref="C100">
    <cfRule type="cellIs" dxfId="850" priority="217" operator="notEqual">
      <formula>ROUND(D100+SUM(F100:G100),0)</formula>
    </cfRule>
  </conditionalFormatting>
  <conditionalFormatting sqref="H100">
    <cfRule type="cellIs" dxfId="849" priority="218" operator="notEqual">
      <formula>ROUND(I100+SUM(K100:L100),0)</formula>
    </cfRule>
  </conditionalFormatting>
  <conditionalFormatting sqref="C101">
    <cfRule type="cellIs" dxfId="848" priority="219" operator="notEqual">
      <formula>ROUND(D101+SUM(F101:G101),0)</formula>
    </cfRule>
  </conditionalFormatting>
  <conditionalFormatting sqref="H101">
    <cfRule type="cellIs" dxfId="847" priority="220" operator="notEqual">
      <formula>ROUND(I101+SUM(K101:L101),0)</formula>
    </cfRule>
  </conditionalFormatting>
  <conditionalFormatting sqref="C102">
    <cfRule type="cellIs" dxfId="846" priority="221" operator="notEqual">
      <formula>ROUND(D102+SUM(F102:G102),0)</formula>
    </cfRule>
  </conditionalFormatting>
  <conditionalFormatting sqref="H102">
    <cfRule type="cellIs" dxfId="845" priority="222" operator="notEqual">
      <formula>ROUND(I102+SUM(K102:L102),0)</formula>
    </cfRule>
  </conditionalFormatting>
  <conditionalFormatting sqref="C103">
    <cfRule type="cellIs" dxfId="844" priority="223" operator="notEqual">
      <formula>ROUND(D103+SUM(F103:G103),0)</formula>
    </cfRule>
  </conditionalFormatting>
  <conditionalFormatting sqref="H103">
    <cfRule type="cellIs" dxfId="843" priority="224" operator="notEqual">
      <formula>ROUND(I103+SUM(K103:L103),0)</formula>
    </cfRule>
  </conditionalFormatting>
  <conditionalFormatting sqref="C104">
    <cfRule type="cellIs" dxfId="842" priority="225" operator="notEqual">
      <formula>ROUND(D104+SUM(F104:G104),0)</formula>
    </cfRule>
  </conditionalFormatting>
  <conditionalFormatting sqref="H104">
    <cfRule type="cellIs" dxfId="841" priority="226" operator="notEqual">
      <formula>ROUND(I104+SUM(K104:L104),0)</formula>
    </cfRule>
  </conditionalFormatting>
  <conditionalFormatting sqref="C105">
    <cfRule type="cellIs" dxfId="840" priority="227" operator="notEqual">
      <formula>ROUND(D105+SUM(F105:G105),0)</formula>
    </cfRule>
  </conditionalFormatting>
  <conditionalFormatting sqref="H105">
    <cfRule type="cellIs" dxfId="839" priority="228" operator="notEqual">
      <formula>ROUND(I105+SUM(K105:L105),0)</formula>
    </cfRule>
  </conditionalFormatting>
  <conditionalFormatting sqref="C106">
    <cfRule type="cellIs" dxfId="838" priority="229" operator="notEqual">
      <formula>ROUND(D106+SUM(F106:G106),0)</formula>
    </cfRule>
  </conditionalFormatting>
  <conditionalFormatting sqref="H106">
    <cfRule type="cellIs" dxfId="837" priority="230" operator="notEqual">
      <formula>ROUND(I106+SUM(K106:L106),0)</formula>
    </cfRule>
  </conditionalFormatting>
  <conditionalFormatting sqref="C107">
    <cfRule type="cellIs" dxfId="836" priority="231" operator="notEqual">
      <formula>ROUND(D107+SUM(F107:G107),0)</formula>
    </cfRule>
  </conditionalFormatting>
  <conditionalFormatting sqref="H107">
    <cfRule type="cellIs" dxfId="835" priority="232" operator="notEqual">
      <formula>ROUND(I107+SUM(K107:L107),0)</formula>
    </cfRule>
  </conditionalFormatting>
  <conditionalFormatting sqref="C108">
    <cfRule type="cellIs" dxfId="834" priority="233" operator="notEqual">
      <formula>ROUND(D108+SUM(F108:G108),0)</formula>
    </cfRule>
  </conditionalFormatting>
  <conditionalFormatting sqref="H108">
    <cfRule type="cellIs" dxfId="833" priority="234" operator="notEqual">
      <formula>ROUND(I108+SUM(K108:L108),0)</formula>
    </cfRule>
  </conditionalFormatting>
  <conditionalFormatting sqref="C109">
    <cfRule type="cellIs" dxfId="832" priority="235" operator="notEqual">
      <formula>ROUND(D109+SUM(F109:G109),0)</formula>
    </cfRule>
  </conditionalFormatting>
  <conditionalFormatting sqref="H109">
    <cfRule type="cellIs" dxfId="831" priority="236" operator="notEqual">
      <formula>ROUND(I109+SUM(K109:L109),0)</formula>
    </cfRule>
  </conditionalFormatting>
  <conditionalFormatting sqref="C110">
    <cfRule type="cellIs" dxfId="830" priority="237" operator="notEqual">
      <formula>ROUND(D110+SUM(F110:G110),0)</formula>
    </cfRule>
  </conditionalFormatting>
  <conditionalFormatting sqref="H110">
    <cfRule type="cellIs" dxfId="829" priority="238" operator="notEqual">
      <formula>ROUND(I110+SUM(K110:L110),0)</formula>
    </cfRule>
  </conditionalFormatting>
  <conditionalFormatting sqref="C111">
    <cfRule type="cellIs" dxfId="828" priority="239" operator="notEqual">
      <formula>ROUND(D111+SUM(F111:G111),0)</formula>
    </cfRule>
  </conditionalFormatting>
  <conditionalFormatting sqref="H111">
    <cfRule type="cellIs" dxfId="827" priority="240" operator="notEqual">
      <formula>ROUND(I111+SUM(K111:L111),0)</formula>
    </cfRule>
  </conditionalFormatting>
  <conditionalFormatting sqref="C112">
    <cfRule type="cellIs" dxfId="826" priority="241" operator="notEqual">
      <formula>ROUND(D112+SUM(F112:G112),0)</formula>
    </cfRule>
  </conditionalFormatting>
  <conditionalFormatting sqref="H112">
    <cfRule type="cellIs" dxfId="825" priority="242" operator="notEqual">
      <formula>ROUND(I112+SUM(K112:L112),0)</formula>
    </cfRule>
  </conditionalFormatting>
  <conditionalFormatting sqref="C113">
    <cfRule type="cellIs" dxfId="824" priority="243" operator="notEqual">
      <formula>ROUND(D113+SUM(F113:G113),0)</formula>
    </cfRule>
  </conditionalFormatting>
  <conditionalFormatting sqref="H113">
    <cfRule type="cellIs" dxfId="823" priority="244" operator="notEqual">
      <formula>ROUND(I113+SUM(K113:L113),0)</formula>
    </cfRule>
  </conditionalFormatting>
  <conditionalFormatting sqref="C114">
    <cfRule type="cellIs" dxfId="822" priority="245" operator="notEqual">
      <formula>ROUND(D114+SUM(F114:G114),0)</formula>
    </cfRule>
  </conditionalFormatting>
  <conditionalFormatting sqref="H114">
    <cfRule type="cellIs" dxfId="821" priority="246" operator="notEqual">
      <formula>ROUND(I114+SUM(K114:L114),0)</formula>
    </cfRule>
  </conditionalFormatting>
  <conditionalFormatting sqref="C115">
    <cfRule type="cellIs" dxfId="820" priority="247" operator="notEqual">
      <formula>ROUND(D115+SUM(F115:G115),0)</formula>
    </cfRule>
  </conditionalFormatting>
  <conditionalFormatting sqref="H115">
    <cfRule type="cellIs" dxfId="819" priority="248" operator="notEqual">
      <formula>ROUND(I115+SUM(K115:L115),0)</formula>
    </cfRule>
  </conditionalFormatting>
  <conditionalFormatting sqref="C116">
    <cfRule type="cellIs" dxfId="818" priority="249" operator="notEqual">
      <formula>ROUND(D116+SUM(F116:G116),0)</formula>
    </cfRule>
  </conditionalFormatting>
  <conditionalFormatting sqref="H116">
    <cfRule type="cellIs" dxfId="817" priority="250" operator="notEqual">
      <formula>ROUND(I116+SUM(K116:L116),0)</formula>
    </cfRule>
  </conditionalFormatting>
  <conditionalFormatting sqref="C117">
    <cfRule type="cellIs" dxfId="816" priority="251" operator="notEqual">
      <formula>ROUND(D117+SUM(F117:G117),0)</formula>
    </cfRule>
  </conditionalFormatting>
  <conditionalFormatting sqref="H117">
    <cfRule type="cellIs" dxfId="815" priority="252" operator="notEqual">
      <formula>ROUND(I117+SUM(K117:L117),0)</formula>
    </cfRule>
  </conditionalFormatting>
  <conditionalFormatting sqref="C118">
    <cfRule type="cellIs" dxfId="814" priority="253" operator="notEqual">
      <formula>ROUND(D118+SUM(F118:G118),0)</formula>
    </cfRule>
  </conditionalFormatting>
  <conditionalFormatting sqref="H118">
    <cfRule type="cellIs" dxfId="813" priority="254" operator="notEqual">
      <formula>ROUND(I118+SUM(K118:L118),0)</formula>
    </cfRule>
  </conditionalFormatting>
  <conditionalFormatting sqref="C119">
    <cfRule type="cellIs" dxfId="812" priority="255" operator="notEqual">
      <formula>ROUND(D119+SUM(F119:G119),0)</formula>
    </cfRule>
  </conditionalFormatting>
  <conditionalFormatting sqref="H119">
    <cfRule type="cellIs" dxfId="811" priority="256" operator="notEqual">
      <formula>ROUND(I119+SUM(K119:L119),0)</formula>
    </cfRule>
  </conditionalFormatting>
  <conditionalFormatting sqref="C120">
    <cfRule type="cellIs" dxfId="810" priority="257" operator="notEqual">
      <formula>ROUND(D120+SUM(F120:G120),0)</formula>
    </cfRule>
  </conditionalFormatting>
  <conditionalFormatting sqref="H120">
    <cfRule type="cellIs" dxfId="809" priority="258" operator="notEqual">
      <formula>ROUND(I120+SUM(K120:L120),0)</formula>
    </cfRule>
  </conditionalFormatting>
  <conditionalFormatting sqref="C121">
    <cfRule type="cellIs" dxfId="808" priority="259" operator="notEqual">
      <formula>ROUND(D121+SUM(F121:G121),0)</formula>
    </cfRule>
  </conditionalFormatting>
  <conditionalFormatting sqref="H121">
    <cfRule type="cellIs" dxfId="807" priority="260" operator="notEqual">
      <formula>ROUND(I121+SUM(K121:L121),0)</formula>
    </cfRule>
  </conditionalFormatting>
  <conditionalFormatting sqref="C122">
    <cfRule type="cellIs" dxfId="806" priority="261" operator="notEqual">
      <formula>ROUND(D122+SUM(F122:G122),0)</formula>
    </cfRule>
  </conditionalFormatting>
  <conditionalFormatting sqref="H122">
    <cfRule type="cellIs" dxfId="805" priority="262" operator="notEqual">
      <formula>ROUND(I122+SUM(K122:L122),0)</formula>
    </cfRule>
  </conditionalFormatting>
  <conditionalFormatting sqref="C123">
    <cfRule type="cellIs" dxfId="804" priority="263" operator="notEqual">
      <formula>ROUND(D123+SUM(F123:G123),0)</formula>
    </cfRule>
  </conditionalFormatting>
  <conditionalFormatting sqref="H123">
    <cfRule type="cellIs" dxfId="803" priority="264" operator="notEqual">
      <formula>ROUND(I123+SUM(K123:L123),0)</formula>
    </cfRule>
  </conditionalFormatting>
  <conditionalFormatting sqref="C124">
    <cfRule type="cellIs" dxfId="802" priority="265" operator="notEqual">
      <formula>ROUND(D124+SUM(F124:G124),0)</formula>
    </cfRule>
  </conditionalFormatting>
  <conditionalFormatting sqref="H124">
    <cfRule type="cellIs" dxfId="801" priority="266" operator="notEqual">
      <formula>ROUND(I124+SUM(K124:L124),0)</formula>
    </cfRule>
  </conditionalFormatting>
  <conditionalFormatting sqref="C125">
    <cfRule type="cellIs" dxfId="800" priority="267" operator="notEqual">
      <formula>ROUND(D125+SUM(F125:G125),0)</formula>
    </cfRule>
  </conditionalFormatting>
  <conditionalFormatting sqref="H125">
    <cfRule type="cellIs" dxfId="799" priority="268" operator="notEqual">
      <formula>ROUND(I125+SUM(K125:L125),0)</formula>
    </cfRule>
  </conditionalFormatting>
  <conditionalFormatting sqref="C126">
    <cfRule type="cellIs" dxfId="798" priority="269" operator="notEqual">
      <formula>ROUND(D126+SUM(F126:G126),0)</formula>
    </cfRule>
  </conditionalFormatting>
  <conditionalFormatting sqref="H126">
    <cfRule type="cellIs" dxfId="797" priority="270" operator="notEqual">
      <formula>ROUND(I126+SUM(K126:L126),0)</formula>
    </cfRule>
  </conditionalFormatting>
  <conditionalFormatting sqref="C127">
    <cfRule type="cellIs" dxfId="796" priority="271" operator="notEqual">
      <formula>ROUND(D127+SUM(F127:G127),0)</formula>
    </cfRule>
  </conditionalFormatting>
  <conditionalFormatting sqref="H127">
    <cfRule type="cellIs" dxfId="795" priority="272" operator="notEqual">
      <formula>ROUND(I127+SUM(K127:L127),0)</formula>
    </cfRule>
  </conditionalFormatting>
  <conditionalFormatting sqref="C128">
    <cfRule type="cellIs" dxfId="794" priority="273" operator="notEqual">
      <formula>ROUND(D128+SUM(F128:G128),0)</formula>
    </cfRule>
  </conditionalFormatting>
  <conditionalFormatting sqref="H128">
    <cfRule type="cellIs" dxfId="793" priority="274" operator="notEqual">
      <formula>ROUND(I128+SUM(K128:L128),0)</formula>
    </cfRule>
  </conditionalFormatting>
  <conditionalFormatting sqref="C129">
    <cfRule type="cellIs" dxfId="792" priority="275" operator="notEqual">
      <formula>ROUND(D129+SUM(F129:G129),0)</formula>
    </cfRule>
  </conditionalFormatting>
  <conditionalFormatting sqref="H129">
    <cfRule type="cellIs" dxfId="791" priority="276" operator="notEqual">
      <formula>ROUND(I129+SUM(K129:L129),0)</formula>
    </cfRule>
  </conditionalFormatting>
  <conditionalFormatting sqref="C130">
    <cfRule type="cellIs" dxfId="790" priority="277" operator="notEqual">
      <formula>ROUND(D130+SUM(F130:G130),0)</formula>
    </cfRule>
  </conditionalFormatting>
  <conditionalFormatting sqref="H130">
    <cfRule type="cellIs" dxfId="789" priority="278" operator="notEqual">
      <formula>ROUND(I130+SUM(K130:L130),0)</formula>
    </cfRule>
  </conditionalFormatting>
  <conditionalFormatting sqref="C131">
    <cfRule type="cellIs" dxfId="788" priority="279" operator="notEqual">
      <formula>ROUND(D131+SUM(F131:G131),0)</formula>
    </cfRule>
  </conditionalFormatting>
  <conditionalFormatting sqref="H131">
    <cfRule type="cellIs" dxfId="787" priority="280" operator="notEqual">
      <formula>ROUND(I131+SUM(K131:L131),0)</formula>
    </cfRule>
  </conditionalFormatting>
  <conditionalFormatting sqref="C132">
    <cfRule type="cellIs" dxfId="786" priority="281" operator="notEqual">
      <formula>ROUND(D132+SUM(F132:G132),0)</formula>
    </cfRule>
  </conditionalFormatting>
  <conditionalFormatting sqref="H132">
    <cfRule type="cellIs" dxfId="785" priority="282" operator="notEqual">
      <formula>ROUND(I132+SUM(K132:L132),0)</formula>
    </cfRule>
  </conditionalFormatting>
  <conditionalFormatting sqref="C133">
    <cfRule type="cellIs" dxfId="784" priority="283" operator="notEqual">
      <formula>ROUND(D133+SUM(F133:G133),0)</formula>
    </cfRule>
  </conditionalFormatting>
  <conditionalFormatting sqref="H133">
    <cfRule type="cellIs" dxfId="783" priority="284" operator="notEqual">
      <formula>ROUND(I133+SUM(K133:L133),0)</formula>
    </cfRule>
  </conditionalFormatting>
  <conditionalFormatting sqref="C134">
    <cfRule type="cellIs" dxfId="782" priority="285" operator="notEqual">
      <formula>ROUND(D134+SUM(F134:G134),0)</formula>
    </cfRule>
  </conditionalFormatting>
  <conditionalFormatting sqref="H134">
    <cfRule type="cellIs" dxfId="781" priority="286" operator="notEqual">
      <formula>ROUND(I134+SUM(K134:L134),0)</formula>
    </cfRule>
  </conditionalFormatting>
  <conditionalFormatting sqref="C135">
    <cfRule type="cellIs" dxfId="780" priority="287" operator="notEqual">
      <formula>ROUND(D135+SUM(F135:G135),0)</formula>
    </cfRule>
  </conditionalFormatting>
  <conditionalFormatting sqref="H135">
    <cfRule type="cellIs" dxfId="779" priority="288" operator="notEqual">
      <formula>ROUND(I135+SUM(K135:L135),0)</formula>
    </cfRule>
  </conditionalFormatting>
  <conditionalFormatting sqref="C136">
    <cfRule type="cellIs" dxfId="778" priority="289" operator="notEqual">
      <formula>ROUND(D136+SUM(F136:G136),0)</formula>
    </cfRule>
  </conditionalFormatting>
  <conditionalFormatting sqref="H136">
    <cfRule type="cellIs" dxfId="777" priority="290" operator="notEqual">
      <formula>ROUND(I136+SUM(K136:L136),0)</formula>
    </cfRule>
  </conditionalFormatting>
  <conditionalFormatting sqref="C137">
    <cfRule type="cellIs" dxfId="776" priority="291" operator="notEqual">
      <formula>ROUND(D137+SUM(F137:G137),0)</formula>
    </cfRule>
  </conditionalFormatting>
  <conditionalFormatting sqref="H137">
    <cfRule type="cellIs" dxfId="775" priority="292" operator="notEqual">
      <formula>ROUND(I137+SUM(K137:L137),0)</formula>
    </cfRule>
  </conditionalFormatting>
  <conditionalFormatting sqref="C138">
    <cfRule type="cellIs" dxfId="774" priority="293" operator="notEqual">
      <formula>ROUND(D138+SUM(F138:G138),0)</formula>
    </cfRule>
  </conditionalFormatting>
  <conditionalFormatting sqref="H138">
    <cfRule type="cellIs" dxfId="773" priority="294" operator="notEqual">
      <formula>ROUND(I138+SUM(K138:L138),0)</formula>
    </cfRule>
  </conditionalFormatting>
  <conditionalFormatting sqref="C139">
    <cfRule type="cellIs" dxfId="772" priority="295" operator="notEqual">
      <formula>ROUND(D139+SUM(F139:G139),0)</formula>
    </cfRule>
  </conditionalFormatting>
  <conditionalFormatting sqref="H139">
    <cfRule type="cellIs" dxfId="771" priority="296" operator="notEqual">
      <formula>ROUND(I139+SUM(K139:L139),0)</formula>
    </cfRule>
  </conditionalFormatting>
  <conditionalFormatting sqref="C140">
    <cfRule type="cellIs" dxfId="770" priority="297" operator="notEqual">
      <formula>ROUND(D140+SUM(F140:G140),0)</formula>
    </cfRule>
  </conditionalFormatting>
  <conditionalFormatting sqref="H140">
    <cfRule type="cellIs" dxfId="769" priority="298" operator="notEqual">
      <formula>ROUND(I140+SUM(K140:L140),0)</formula>
    </cfRule>
  </conditionalFormatting>
  <conditionalFormatting sqref="C141">
    <cfRule type="cellIs" dxfId="768" priority="299" operator="notEqual">
      <formula>ROUND(D141+SUM(F141:G141),0)</formula>
    </cfRule>
  </conditionalFormatting>
  <conditionalFormatting sqref="H141">
    <cfRule type="cellIs" dxfId="767" priority="300" operator="notEqual">
      <formula>ROUND(I141+SUM(K141:L141),0)</formula>
    </cfRule>
  </conditionalFormatting>
  <conditionalFormatting sqref="C142">
    <cfRule type="cellIs" dxfId="766" priority="301" operator="notEqual">
      <formula>ROUND(D142+SUM(F142:G142),0)</formula>
    </cfRule>
  </conditionalFormatting>
  <conditionalFormatting sqref="H142">
    <cfRule type="cellIs" dxfId="765" priority="302" operator="notEqual">
      <formula>ROUND(I142+SUM(K142:L142),0)</formula>
    </cfRule>
  </conditionalFormatting>
  <conditionalFormatting sqref="C143">
    <cfRule type="cellIs" dxfId="764" priority="303" operator="notEqual">
      <formula>ROUND(D143+SUM(F143:G143),0)</formula>
    </cfRule>
  </conditionalFormatting>
  <conditionalFormatting sqref="H143">
    <cfRule type="cellIs" dxfId="763" priority="304" operator="notEqual">
      <formula>ROUND(I143+SUM(K143:L143),0)</formula>
    </cfRule>
  </conditionalFormatting>
  <conditionalFormatting sqref="C144">
    <cfRule type="cellIs" dxfId="762" priority="305" operator="notEqual">
      <formula>ROUND(D144+SUM(F144:G144),0)</formula>
    </cfRule>
  </conditionalFormatting>
  <conditionalFormatting sqref="H144">
    <cfRule type="cellIs" dxfId="761" priority="306" operator="notEqual">
      <formula>ROUND(I144+SUM(K144:L144),0)</formula>
    </cfRule>
  </conditionalFormatting>
  <conditionalFormatting sqref="C145">
    <cfRule type="cellIs" dxfId="760" priority="307" operator="notEqual">
      <formula>ROUND(D145+SUM(F145:G145),0)</formula>
    </cfRule>
  </conditionalFormatting>
  <conditionalFormatting sqref="H145">
    <cfRule type="cellIs" dxfId="759" priority="308" operator="notEqual">
      <formula>ROUND(I145+SUM(K145:L145),0)</formula>
    </cfRule>
  </conditionalFormatting>
  <conditionalFormatting sqref="C146">
    <cfRule type="cellIs" dxfId="758" priority="309" operator="notEqual">
      <formula>ROUND(D146+SUM(F146:G146),0)</formula>
    </cfRule>
  </conditionalFormatting>
  <conditionalFormatting sqref="H146">
    <cfRule type="cellIs" dxfId="757" priority="310" operator="notEqual">
      <formula>ROUND(I146+SUM(K146:L146),0)</formula>
    </cfRule>
  </conditionalFormatting>
  <conditionalFormatting sqref="C147">
    <cfRule type="cellIs" dxfId="756" priority="311" operator="notEqual">
      <formula>ROUND(D147+SUM(F147:G147),0)</formula>
    </cfRule>
  </conditionalFormatting>
  <conditionalFormatting sqref="H147">
    <cfRule type="cellIs" dxfId="755" priority="312" operator="notEqual">
      <formula>ROUND(I147+SUM(K147:L147),0)</formula>
    </cfRule>
  </conditionalFormatting>
  <conditionalFormatting sqref="C148">
    <cfRule type="cellIs" dxfId="754" priority="313" operator="notEqual">
      <formula>ROUND(D148+SUM(F148:G148),0)</formula>
    </cfRule>
  </conditionalFormatting>
  <conditionalFormatting sqref="H148">
    <cfRule type="cellIs" dxfId="753" priority="314" operator="notEqual">
      <formula>ROUND(I148+SUM(K148:L148),0)</formula>
    </cfRule>
  </conditionalFormatting>
  <conditionalFormatting sqref="C149">
    <cfRule type="cellIs" dxfId="752" priority="315" operator="notEqual">
      <formula>ROUND(D149+SUM(F149:G149),0)</formula>
    </cfRule>
  </conditionalFormatting>
  <conditionalFormatting sqref="H149">
    <cfRule type="cellIs" dxfId="751" priority="316" operator="notEqual">
      <formula>ROUND(I149+SUM(K149:L149),0)</formula>
    </cfRule>
  </conditionalFormatting>
  <conditionalFormatting sqref="C150">
    <cfRule type="cellIs" dxfId="750" priority="317" operator="notEqual">
      <formula>ROUND(D150+SUM(F150:G150),0)</formula>
    </cfRule>
  </conditionalFormatting>
  <conditionalFormatting sqref="H150">
    <cfRule type="cellIs" dxfId="749" priority="318" operator="notEqual">
      <formula>ROUND(I150+SUM(K150:L150),0)</formula>
    </cfRule>
  </conditionalFormatting>
  <conditionalFormatting sqref="C151">
    <cfRule type="cellIs" dxfId="748" priority="319" operator="notEqual">
      <formula>ROUND(D151+SUM(F151:G151),0)</formula>
    </cfRule>
  </conditionalFormatting>
  <conditionalFormatting sqref="H151">
    <cfRule type="cellIs" dxfId="747" priority="320" operator="notEqual">
      <formula>ROUND(I151+SUM(K151:L151),0)</formula>
    </cfRule>
  </conditionalFormatting>
  <conditionalFormatting sqref="C152">
    <cfRule type="cellIs" dxfId="746" priority="321" operator="notEqual">
      <formula>ROUND(D152+SUM(F152:G152),0)</formula>
    </cfRule>
  </conditionalFormatting>
  <conditionalFormatting sqref="H152">
    <cfRule type="cellIs" dxfId="745" priority="322" operator="notEqual">
      <formula>ROUND(I152+SUM(K152:L152),0)</formula>
    </cfRule>
  </conditionalFormatting>
  <conditionalFormatting sqref="C153">
    <cfRule type="cellIs" dxfId="744" priority="323" operator="notEqual">
      <formula>ROUND(D153+SUM(F153:G153),0)</formula>
    </cfRule>
  </conditionalFormatting>
  <conditionalFormatting sqref="H153">
    <cfRule type="cellIs" dxfId="743" priority="324" operator="notEqual">
      <formula>ROUND(I153+SUM(K153:L153),0)</formula>
    </cfRule>
  </conditionalFormatting>
  <conditionalFormatting sqref="C154">
    <cfRule type="cellIs" dxfId="742" priority="325" operator="notEqual">
      <formula>ROUND(D154+SUM(F154:G154),0)</formula>
    </cfRule>
  </conditionalFormatting>
  <conditionalFormatting sqref="H154">
    <cfRule type="cellIs" dxfId="741" priority="326" operator="notEqual">
      <formula>ROUND(I154+SUM(K154:L154),0)</formula>
    </cfRule>
  </conditionalFormatting>
  <conditionalFormatting sqref="C155">
    <cfRule type="cellIs" dxfId="740" priority="327" operator="notEqual">
      <formula>ROUND(D155+SUM(F155:G155),0)</formula>
    </cfRule>
  </conditionalFormatting>
  <conditionalFormatting sqref="H155">
    <cfRule type="cellIs" dxfId="739" priority="328" operator="notEqual">
      <formula>ROUND(I155+SUM(K155:L155),0)</formula>
    </cfRule>
  </conditionalFormatting>
  <conditionalFormatting sqref="C156">
    <cfRule type="cellIs" dxfId="738" priority="329" operator="notEqual">
      <formula>ROUND(D156+SUM(F156:G156),0)</formula>
    </cfRule>
  </conditionalFormatting>
  <conditionalFormatting sqref="H156">
    <cfRule type="cellIs" dxfId="737" priority="330" operator="notEqual">
      <formula>ROUND(I156+SUM(K156:L156),0)</formula>
    </cfRule>
  </conditionalFormatting>
  <conditionalFormatting sqref="C157">
    <cfRule type="cellIs" dxfId="736" priority="331" operator="notEqual">
      <formula>ROUND(D157+SUM(F157:G157),0)</formula>
    </cfRule>
  </conditionalFormatting>
  <conditionalFormatting sqref="H157">
    <cfRule type="cellIs" dxfId="735" priority="332" operator="notEqual">
      <formula>ROUND(I157+SUM(K157:L157),0)</formula>
    </cfRule>
  </conditionalFormatting>
  <conditionalFormatting sqref="C158">
    <cfRule type="cellIs" dxfId="734" priority="333" operator="notEqual">
      <formula>ROUND(D158+SUM(F158:G158),0)</formula>
    </cfRule>
  </conditionalFormatting>
  <conditionalFormatting sqref="H158">
    <cfRule type="cellIs" dxfId="733" priority="334" operator="notEqual">
      <formula>ROUND(I158+SUM(K158:L158),0)</formula>
    </cfRule>
  </conditionalFormatting>
  <conditionalFormatting sqref="C159">
    <cfRule type="cellIs" dxfId="732" priority="335" operator="notEqual">
      <formula>ROUND(D159+SUM(F159:G159),0)</formula>
    </cfRule>
  </conditionalFormatting>
  <conditionalFormatting sqref="H159">
    <cfRule type="cellIs" dxfId="731" priority="336" operator="notEqual">
      <formula>ROUND(I159+SUM(K159:L159),0)</formula>
    </cfRule>
  </conditionalFormatting>
  <conditionalFormatting sqref="C160">
    <cfRule type="cellIs" dxfId="730" priority="337" operator="notEqual">
      <formula>ROUND(D160+SUM(F160:G160),0)</formula>
    </cfRule>
  </conditionalFormatting>
  <conditionalFormatting sqref="H160">
    <cfRule type="cellIs" dxfId="729" priority="338" operator="notEqual">
      <formula>ROUND(I160+SUM(K160:L160),0)</formula>
    </cfRule>
  </conditionalFormatting>
  <conditionalFormatting sqref="C161">
    <cfRule type="cellIs" dxfId="728" priority="339" operator="notEqual">
      <formula>ROUND(D161+SUM(F161:G161),0)</formula>
    </cfRule>
  </conditionalFormatting>
  <conditionalFormatting sqref="H161">
    <cfRule type="cellIs" dxfId="727" priority="340" operator="notEqual">
      <formula>ROUND(I161+SUM(K161:L161),0)</formula>
    </cfRule>
  </conditionalFormatting>
  <conditionalFormatting sqref="C162">
    <cfRule type="cellIs" dxfId="726" priority="341" operator="notEqual">
      <formula>ROUND(D162+SUM(F162:G162),0)</formula>
    </cfRule>
  </conditionalFormatting>
  <conditionalFormatting sqref="H162">
    <cfRule type="cellIs" dxfId="725" priority="342" operator="notEqual">
      <formula>ROUND(I162+SUM(K162:L162),0)</formula>
    </cfRule>
  </conditionalFormatting>
  <conditionalFormatting sqref="C163">
    <cfRule type="cellIs" dxfId="724" priority="343" operator="notEqual">
      <formula>ROUND(D163+SUM(F163:G163),0)</formula>
    </cfRule>
  </conditionalFormatting>
  <conditionalFormatting sqref="H163">
    <cfRule type="cellIs" dxfId="723" priority="344" operator="notEqual">
      <formula>ROUND(I163+SUM(K163:L163),0)</formula>
    </cfRule>
  </conditionalFormatting>
  <conditionalFormatting sqref="C164">
    <cfRule type="cellIs" dxfId="722" priority="345" operator="notEqual">
      <formula>ROUND(D164+SUM(F164:G164),0)</formula>
    </cfRule>
  </conditionalFormatting>
  <conditionalFormatting sqref="H164">
    <cfRule type="cellIs" dxfId="721" priority="346" operator="notEqual">
      <formula>ROUND(I164+SUM(K164:L164),0)</formula>
    </cfRule>
  </conditionalFormatting>
  <conditionalFormatting sqref="C165">
    <cfRule type="cellIs" dxfId="720" priority="347" operator="notEqual">
      <formula>ROUND(D165+SUM(F165:G165),0)</formula>
    </cfRule>
  </conditionalFormatting>
  <conditionalFormatting sqref="H165">
    <cfRule type="cellIs" dxfId="719" priority="348" operator="notEqual">
      <formula>ROUND(I165+SUM(K165:L165),0)</formula>
    </cfRule>
  </conditionalFormatting>
  <conditionalFormatting sqref="C166">
    <cfRule type="cellIs" dxfId="718" priority="349" operator="notEqual">
      <formula>ROUND(D166+SUM(F166:G166),0)</formula>
    </cfRule>
  </conditionalFormatting>
  <conditionalFormatting sqref="H166">
    <cfRule type="cellIs" dxfId="717" priority="350" operator="notEqual">
      <formula>ROUND(I166+SUM(K166:L166),0)</formula>
    </cfRule>
  </conditionalFormatting>
  <conditionalFormatting sqref="C167">
    <cfRule type="cellIs" dxfId="716" priority="351" operator="notEqual">
      <formula>ROUND(D167+SUM(F167:G167),0)</formula>
    </cfRule>
  </conditionalFormatting>
  <conditionalFormatting sqref="H167">
    <cfRule type="cellIs" dxfId="715" priority="352" operator="notEqual">
      <formula>ROUND(I167+SUM(K167:L167),0)</formula>
    </cfRule>
  </conditionalFormatting>
  <conditionalFormatting sqref="C168">
    <cfRule type="cellIs" dxfId="714" priority="353" operator="notEqual">
      <formula>ROUND(D168+SUM(F168:G168),0)</formula>
    </cfRule>
  </conditionalFormatting>
  <conditionalFormatting sqref="H168">
    <cfRule type="cellIs" dxfId="713" priority="354" operator="notEqual">
      <formula>ROUND(I168+SUM(K168:L168),0)</formula>
    </cfRule>
  </conditionalFormatting>
  <conditionalFormatting sqref="C169">
    <cfRule type="cellIs" dxfId="712" priority="355" operator="notEqual">
      <formula>ROUND(D169+SUM(F169:G169),0)</formula>
    </cfRule>
  </conditionalFormatting>
  <conditionalFormatting sqref="H169">
    <cfRule type="cellIs" dxfId="711" priority="356" operator="notEqual">
      <formula>ROUND(I169+SUM(K169:L169),0)</formula>
    </cfRule>
  </conditionalFormatting>
  <conditionalFormatting sqref="C170">
    <cfRule type="cellIs" dxfId="710" priority="357" operator="notEqual">
      <formula>ROUND(D170+SUM(F170:G170),0)</formula>
    </cfRule>
  </conditionalFormatting>
  <conditionalFormatting sqref="H170">
    <cfRule type="cellIs" dxfId="709" priority="358" operator="notEqual">
      <formula>ROUND(I170+SUM(K170:L170),0)</formula>
    </cfRule>
  </conditionalFormatting>
  <conditionalFormatting sqref="C171">
    <cfRule type="cellIs" dxfId="708" priority="359" operator="notEqual">
      <formula>ROUND(D171+SUM(F171:G171),0)</formula>
    </cfRule>
  </conditionalFormatting>
  <conditionalFormatting sqref="H171">
    <cfRule type="cellIs" dxfId="707" priority="360" operator="notEqual">
      <formula>ROUND(I171+SUM(K171:L171),0)</formula>
    </cfRule>
  </conditionalFormatting>
  <conditionalFormatting sqref="C172">
    <cfRule type="cellIs" dxfId="706" priority="361" operator="notEqual">
      <formula>ROUND(D172+SUM(F172:G172),0)</formula>
    </cfRule>
  </conditionalFormatting>
  <conditionalFormatting sqref="H172">
    <cfRule type="cellIs" dxfId="705" priority="362" operator="notEqual">
      <formula>ROUND(I172+SUM(K172:L172),0)</formula>
    </cfRule>
  </conditionalFormatting>
  <conditionalFormatting sqref="C173">
    <cfRule type="cellIs" dxfId="704" priority="363" operator="notEqual">
      <formula>ROUND(D173+SUM(F173:G173),0)</formula>
    </cfRule>
  </conditionalFormatting>
  <conditionalFormatting sqref="H173">
    <cfRule type="cellIs" dxfId="703" priority="364" operator="notEqual">
      <formula>ROUND(I173+SUM(K173:L173),0)</formula>
    </cfRule>
  </conditionalFormatting>
  <conditionalFormatting sqref="C174">
    <cfRule type="cellIs" dxfId="702" priority="365" operator="notEqual">
      <formula>ROUND(D174+SUM(F174:G174),0)</formula>
    </cfRule>
  </conditionalFormatting>
  <conditionalFormatting sqref="H174">
    <cfRule type="cellIs" dxfId="701" priority="366" operator="notEqual">
      <formula>ROUND(I174+SUM(K174:L174),0)</formula>
    </cfRule>
  </conditionalFormatting>
  <conditionalFormatting sqref="C175">
    <cfRule type="cellIs" dxfId="700" priority="367" operator="notEqual">
      <formula>ROUND(D175+SUM(F175:G175),0)</formula>
    </cfRule>
  </conditionalFormatting>
  <conditionalFormatting sqref="H175">
    <cfRule type="cellIs" dxfId="699" priority="368" operator="notEqual">
      <formula>ROUND(I175+SUM(K175:L175),0)</formula>
    </cfRule>
  </conditionalFormatting>
  <conditionalFormatting sqref="C176">
    <cfRule type="cellIs" dxfId="698" priority="369" operator="notEqual">
      <formula>ROUND(D176+SUM(F176:G176),0)</formula>
    </cfRule>
  </conditionalFormatting>
  <conditionalFormatting sqref="H176">
    <cfRule type="cellIs" dxfId="697" priority="370" operator="notEqual">
      <formula>ROUND(I176+SUM(K176:L176),0)</formula>
    </cfRule>
  </conditionalFormatting>
  <conditionalFormatting sqref="C177">
    <cfRule type="cellIs" dxfId="696" priority="371" operator="notEqual">
      <formula>ROUND(D177+SUM(F177:G177),0)</formula>
    </cfRule>
  </conditionalFormatting>
  <conditionalFormatting sqref="H177">
    <cfRule type="cellIs" dxfId="695" priority="372" operator="notEqual">
      <formula>ROUND(I177+SUM(K177:L177),0)</formula>
    </cfRule>
  </conditionalFormatting>
  <conditionalFormatting sqref="C178">
    <cfRule type="cellIs" dxfId="694" priority="373" operator="notEqual">
      <formula>ROUND(D178+SUM(F178:G178),0)</formula>
    </cfRule>
  </conditionalFormatting>
  <conditionalFormatting sqref="H178">
    <cfRule type="cellIs" dxfId="693" priority="374" operator="notEqual">
      <formula>ROUND(I178+SUM(K178:L178),0)</formula>
    </cfRule>
  </conditionalFormatting>
  <conditionalFormatting sqref="C179">
    <cfRule type="cellIs" dxfId="692" priority="375" operator="notEqual">
      <formula>ROUND(D179+SUM(F179:G179),0)</formula>
    </cfRule>
  </conditionalFormatting>
  <conditionalFormatting sqref="H179">
    <cfRule type="cellIs" dxfId="691" priority="376" operator="notEqual">
      <formula>ROUND(I179+SUM(K179:L179),0)</formula>
    </cfRule>
  </conditionalFormatting>
  <conditionalFormatting sqref="C180">
    <cfRule type="cellIs" dxfId="690" priority="377" operator="notEqual">
      <formula>ROUND(D180+SUM(F180:G180),0)</formula>
    </cfRule>
  </conditionalFormatting>
  <conditionalFormatting sqref="H180">
    <cfRule type="cellIs" dxfId="689" priority="378" operator="notEqual">
      <formula>ROUND(I180+SUM(K180:L180),0)</formula>
    </cfRule>
  </conditionalFormatting>
  <conditionalFormatting sqref="C181">
    <cfRule type="cellIs" dxfId="688" priority="379" operator="notEqual">
      <formula>ROUND(D181+SUM(F181:G181),0)</formula>
    </cfRule>
  </conditionalFormatting>
  <conditionalFormatting sqref="H181">
    <cfRule type="cellIs" dxfId="687" priority="380" operator="notEqual">
      <formula>ROUND(I181+SUM(K181:L181),0)</formula>
    </cfRule>
  </conditionalFormatting>
  <conditionalFormatting sqref="C182">
    <cfRule type="cellIs" dxfId="686" priority="381" operator="notEqual">
      <formula>ROUND(D182+SUM(F182:G182),0)</formula>
    </cfRule>
  </conditionalFormatting>
  <conditionalFormatting sqref="H182">
    <cfRule type="cellIs" dxfId="685" priority="382" operator="notEqual">
      <formula>ROUND(I182+SUM(K182:L182),0)</formula>
    </cfRule>
  </conditionalFormatting>
  <conditionalFormatting sqref="C183">
    <cfRule type="cellIs" dxfId="684" priority="383" operator="notEqual">
      <formula>ROUND(D183+SUM(F183:G183),0)</formula>
    </cfRule>
  </conditionalFormatting>
  <conditionalFormatting sqref="H183">
    <cfRule type="cellIs" dxfId="683" priority="384" operator="notEqual">
      <formula>ROUND(I183+SUM(K183:L183),0)</formula>
    </cfRule>
  </conditionalFormatting>
  <conditionalFormatting sqref="C184">
    <cfRule type="cellIs" dxfId="682" priority="385" operator="notEqual">
      <formula>ROUND(D184+SUM(F184:G184),0)</formula>
    </cfRule>
  </conditionalFormatting>
  <conditionalFormatting sqref="H184">
    <cfRule type="cellIs" dxfId="681" priority="386" operator="notEqual">
      <formula>ROUND(I184+SUM(K184:L184),0)</formula>
    </cfRule>
  </conditionalFormatting>
  <conditionalFormatting sqref="C185">
    <cfRule type="cellIs" dxfId="680" priority="387" operator="notEqual">
      <formula>ROUND(D185+SUM(F185:G185),0)</formula>
    </cfRule>
  </conditionalFormatting>
  <conditionalFormatting sqref="H185">
    <cfRule type="cellIs" dxfId="679" priority="388" operator="notEqual">
      <formula>ROUND(I185+SUM(K185:L185),0)</formula>
    </cfRule>
  </conditionalFormatting>
  <conditionalFormatting sqref="C186">
    <cfRule type="cellIs" dxfId="678" priority="389" operator="notEqual">
      <formula>ROUND(D186+SUM(F186:G186),0)</formula>
    </cfRule>
  </conditionalFormatting>
  <conditionalFormatting sqref="H186">
    <cfRule type="cellIs" dxfId="677" priority="390" operator="notEqual">
      <formula>ROUND(I186+SUM(K186:L186),0)</formula>
    </cfRule>
  </conditionalFormatting>
  <conditionalFormatting sqref="C187">
    <cfRule type="cellIs" dxfId="676" priority="391" operator="notEqual">
      <formula>ROUND(D187+SUM(F187:G187),0)</formula>
    </cfRule>
  </conditionalFormatting>
  <conditionalFormatting sqref="H187">
    <cfRule type="cellIs" dxfId="675" priority="392" operator="notEqual">
      <formula>ROUND(I187+SUM(K187:L187),0)</formula>
    </cfRule>
  </conditionalFormatting>
  <conditionalFormatting sqref="C188">
    <cfRule type="cellIs" dxfId="674" priority="393" operator="notEqual">
      <formula>ROUND(D188+SUM(F188:G188),0)</formula>
    </cfRule>
  </conditionalFormatting>
  <conditionalFormatting sqref="H188">
    <cfRule type="cellIs" dxfId="673" priority="394" operator="notEqual">
      <formula>ROUND(I188+SUM(K188:L188),0)</formula>
    </cfRule>
  </conditionalFormatting>
  <conditionalFormatting sqref="C189">
    <cfRule type="cellIs" dxfId="672" priority="395" operator="notEqual">
      <formula>ROUND(D189+SUM(F189:G189),0)</formula>
    </cfRule>
  </conditionalFormatting>
  <conditionalFormatting sqref="H189">
    <cfRule type="cellIs" dxfId="671" priority="396" operator="notEqual">
      <formula>ROUND(I189+SUM(K189:L189),0)</formula>
    </cfRule>
  </conditionalFormatting>
  <conditionalFormatting sqref="C190">
    <cfRule type="cellIs" dxfId="670" priority="397" operator="notEqual">
      <formula>ROUND(D190+SUM(F190:G190),0)</formula>
    </cfRule>
  </conditionalFormatting>
  <conditionalFormatting sqref="H190">
    <cfRule type="cellIs" dxfId="669" priority="398" operator="notEqual">
      <formula>ROUND(I190+SUM(K190:L190),0)</formula>
    </cfRule>
  </conditionalFormatting>
  <conditionalFormatting sqref="C191">
    <cfRule type="cellIs" dxfId="668" priority="399" operator="notEqual">
      <formula>ROUND(D191+SUM(F191:G191),0)</formula>
    </cfRule>
  </conditionalFormatting>
  <conditionalFormatting sqref="H191">
    <cfRule type="cellIs" dxfId="667" priority="400" operator="notEqual">
      <formula>ROUND(I191+SUM(K191:L191),0)</formula>
    </cfRule>
  </conditionalFormatting>
  <conditionalFormatting sqref="C192">
    <cfRule type="cellIs" dxfId="666" priority="401" operator="notEqual">
      <formula>ROUND(D192+SUM(F192:G192),0)</formula>
    </cfRule>
  </conditionalFormatting>
  <conditionalFormatting sqref="H192">
    <cfRule type="cellIs" dxfId="665" priority="402" operator="notEqual">
      <formula>ROUND(I192+SUM(K192:L192),0)</formula>
    </cfRule>
  </conditionalFormatting>
  <conditionalFormatting sqref="C193">
    <cfRule type="cellIs" dxfId="664" priority="403" operator="notEqual">
      <formula>ROUND(D193+SUM(F193:G193),0)</formula>
    </cfRule>
  </conditionalFormatting>
  <conditionalFormatting sqref="H193">
    <cfRule type="cellIs" dxfId="663" priority="404" operator="notEqual">
      <formula>ROUND(I193+SUM(K193:L193),0)</formula>
    </cfRule>
  </conditionalFormatting>
  <conditionalFormatting sqref="C194">
    <cfRule type="cellIs" dxfId="662" priority="405" operator="notEqual">
      <formula>ROUND(D194+SUM(F194:G194),0)</formula>
    </cfRule>
  </conditionalFormatting>
  <conditionalFormatting sqref="H194">
    <cfRule type="cellIs" dxfId="661" priority="406" operator="notEqual">
      <formula>ROUND(I194+SUM(K194:L194),0)</formula>
    </cfRule>
  </conditionalFormatting>
  <conditionalFormatting sqref="C195">
    <cfRule type="cellIs" dxfId="660" priority="407" operator="notEqual">
      <formula>ROUND(D195+SUM(F195:G195),0)</formula>
    </cfRule>
  </conditionalFormatting>
  <conditionalFormatting sqref="H195">
    <cfRule type="cellIs" dxfId="659" priority="408" operator="notEqual">
      <formula>ROUND(I195+SUM(K195:L195),0)</formula>
    </cfRule>
  </conditionalFormatting>
  <conditionalFormatting sqref="C196">
    <cfRule type="cellIs" dxfId="658" priority="409" operator="notEqual">
      <formula>ROUND(D196+SUM(F196:G196),0)</formula>
    </cfRule>
  </conditionalFormatting>
  <conditionalFormatting sqref="H196">
    <cfRule type="cellIs" dxfId="657" priority="410" operator="notEqual">
      <formula>ROUND(I196+SUM(K196:L196),0)</formula>
    </cfRule>
  </conditionalFormatting>
  <conditionalFormatting sqref="C197">
    <cfRule type="cellIs" dxfId="656" priority="411" operator="notEqual">
      <formula>ROUND(D197+SUM(F197:G197),0)</formula>
    </cfRule>
  </conditionalFormatting>
  <conditionalFormatting sqref="H197">
    <cfRule type="cellIs" dxfId="655" priority="412" operator="notEqual">
      <formula>ROUND(I197+SUM(K197:L197),0)</formula>
    </cfRule>
  </conditionalFormatting>
  <conditionalFormatting sqref="C198">
    <cfRule type="cellIs" dxfId="654" priority="413" operator="notEqual">
      <formula>ROUND(D198+SUM(F198:G198),0)</formula>
    </cfRule>
  </conditionalFormatting>
  <conditionalFormatting sqref="H198">
    <cfRule type="cellIs" dxfId="653" priority="414" operator="notEqual">
      <formula>ROUND(I198+SUM(K198:L198),0)</formula>
    </cfRule>
  </conditionalFormatting>
  <conditionalFormatting sqref="C199">
    <cfRule type="cellIs" dxfId="652" priority="415" operator="notEqual">
      <formula>ROUND(D199+SUM(F199:G199),0)</formula>
    </cfRule>
  </conditionalFormatting>
  <conditionalFormatting sqref="H199">
    <cfRule type="cellIs" dxfId="651" priority="416" operator="notEqual">
      <formula>ROUND(I199+SUM(K199:L199),0)</formula>
    </cfRule>
  </conditionalFormatting>
  <conditionalFormatting sqref="C200">
    <cfRule type="cellIs" dxfId="650" priority="417" operator="notEqual">
      <formula>ROUND(D200+SUM(F200:G200),0)</formula>
    </cfRule>
  </conditionalFormatting>
  <conditionalFormatting sqref="H200">
    <cfRule type="cellIs" dxfId="649" priority="418" operator="notEqual">
      <formula>ROUND(I200+SUM(K200:L200),0)</formula>
    </cfRule>
  </conditionalFormatting>
  <conditionalFormatting sqref="C201">
    <cfRule type="cellIs" dxfId="648" priority="419" operator="notEqual">
      <formula>ROUND(D201+SUM(F201:G201),0)</formula>
    </cfRule>
  </conditionalFormatting>
  <conditionalFormatting sqref="H201">
    <cfRule type="cellIs" dxfId="647" priority="420" operator="notEqual">
      <formula>ROUND(I201+SUM(K201:L201),0)</formula>
    </cfRule>
  </conditionalFormatting>
  <conditionalFormatting sqref="C202">
    <cfRule type="cellIs" dxfId="646" priority="421" operator="notEqual">
      <formula>ROUND(D202+SUM(F202:G202),0)</formula>
    </cfRule>
  </conditionalFormatting>
  <conditionalFormatting sqref="H202">
    <cfRule type="cellIs" dxfId="645" priority="422" operator="notEqual">
      <formula>ROUND(I202+SUM(K202:L202),0)</formula>
    </cfRule>
  </conditionalFormatting>
  <conditionalFormatting sqref="C203">
    <cfRule type="cellIs" dxfId="644" priority="423" operator="notEqual">
      <formula>ROUND(D203+SUM(F203:G203),0)</formula>
    </cfRule>
  </conditionalFormatting>
  <conditionalFormatting sqref="H203">
    <cfRule type="cellIs" dxfId="643" priority="424" operator="notEqual">
      <formula>ROUND(I203+SUM(K203:L203),0)</formula>
    </cfRule>
  </conditionalFormatting>
  <conditionalFormatting sqref="C204">
    <cfRule type="cellIs" dxfId="642" priority="425" operator="notEqual">
      <formula>ROUND(D204+SUM(F204:G204),0)</formula>
    </cfRule>
  </conditionalFormatting>
  <conditionalFormatting sqref="H204">
    <cfRule type="cellIs" dxfId="641" priority="426" operator="notEqual">
      <formula>ROUND(I204+SUM(K204:L204),0)</formula>
    </cfRule>
  </conditionalFormatting>
  <conditionalFormatting sqref="C205">
    <cfRule type="cellIs" dxfId="640" priority="427" operator="notEqual">
      <formula>ROUND(D205+SUM(F205:G205),0)</formula>
    </cfRule>
  </conditionalFormatting>
  <conditionalFormatting sqref="H205">
    <cfRule type="cellIs" dxfId="639" priority="428" operator="notEqual">
      <formula>ROUND(I205+SUM(K205:L205),0)</formula>
    </cfRule>
  </conditionalFormatting>
  <conditionalFormatting sqref="C206">
    <cfRule type="cellIs" dxfId="638" priority="429" operator="notEqual">
      <formula>ROUND(D206+SUM(F206:G206),0)</formula>
    </cfRule>
  </conditionalFormatting>
  <conditionalFormatting sqref="H206">
    <cfRule type="cellIs" dxfId="637" priority="430" operator="notEqual">
      <formula>ROUND(I206+SUM(K206:L206),0)</formula>
    </cfRule>
  </conditionalFormatting>
  <conditionalFormatting sqref="C207">
    <cfRule type="cellIs" dxfId="636" priority="431" operator="notEqual">
      <formula>ROUND(D207+SUM(F207:G207),0)</formula>
    </cfRule>
  </conditionalFormatting>
  <conditionalFormatting sqref="H207">
    <cfRule type="cellIs" dxfId="635" priority="432" operator="notEqual">
      <formula>ROUND(I207+SUM(K207:L207),0)</formula>
    </cfRule>
  </conditionalFormatting>
  <conditionalFormatting sqref="C208">
    <cfRule type="cellIs" dxfId="634" priority="433" operator="notEqual">
      <formula>ROUND(D208+SUM(F208:G208),0)</formula>
    </cfRule>
  </conditionalFormatting>
  <conditionalFormatting sqref="H208">
    <cfRule type="cellIs" dxfId="633" priority="434" operator="notEqual">
      <formula>ROUND(I208+SUM(K208:L208),0)</formula>
    </cfRule>
  </conditionalFormatting>
  <conditionalFormatting sqref="C209">
    <cfRule type="cellIs" dxfId="632" priority="435" operator="notEqual">
      <formula>ROUND(D209+SUM(F209:G209),0)</formula>
    </cfRule>
  </conditionalFormatting>
  <conditionalFormatting sqref="H209">
    <cfRule type="cellIs" dxfId="631" priority="436" operator="notEqual">
      <formula>ROUND(I209+SUM(K209:L209),0)</formula>
    </cfRule>
  </conditionalFormatting>
  <conditionalFormatting sqref="C210">
    <cfRule type="cellIs" dxfId="630" priority="437" operator="notEqual">
      <formula>ROUND(D210+SUM(F210:G210),0)</formula>
    </cfRule>
  </conditionalFormatting>
  <conditionalFormatting sqref="H210">
    <cfRule type="cellIs" dxfId="629" priority="438" operator="notEqual">
      <formula>ROUND(I210+SUM(K210:L210),0)</formula>
    </cfRule>
  </conditionalFormatting>
  <conditionalFormatting sqref="C211">
    <cfRule type="cellIs" dxfId="628" priority="439" operator="notEqual">
      <formula>ROUND(D211+SUM(F211:G211),0)</formula>
    </cfRule>
  </conditionalFormatting>
  <conditionalFormatting sqref="H211">
    <cfRule type="cellIs" dxfId="627" priority="440" operator="notEqual">
      <formula>ROUND(I211+SUM(K211:L211),0)</formula>
    </cfRule>
  </conditionalFormatting>
  <conditionalFormatting sqref="C212">
    <cfRule type="cellIs" dxfId="626" priority="441" operator="notEqual">
      <formula>ROUND(D212+SUM(F212:G212),0)</formula>
    </cfRule>
  </conditionalFormatting>
  <conditionalFormatting sqref="H212">
    <cfRule type="cellIs" dxfId="625" priority="442" operator="notEqual">
      <formula>ROUND(I212+SUM(K212:L212),0)</formula>
    </cfRule>
  </conditionalFormatting>
  <conditionalFormatting sqref="C213">
    <cfRule type="cellIs" dxfId="624" priority="443" operator="notEqual">
      <formula>ROUND(D213+SUM(F213:G213),0)</formula>
    </cfRule>
  </conditionalFormatting>
  <conditionalFormatting sqref="H213">
    <cfRule type="cellIs" dxfId="623" priority="444" operator="notEqual">
      <formula>ROUND(I213+SUM(K213:L213),0)</formula>
    </cfRule>
  </conditionalFormatting>
  <conditionalFormatting sqref="C214">
    <cfRule type="cellIs" dxfId="622" priority="445" operator="notEqual">
      <formula>ROUND(D214+SUM(F214:G214),0)</formula>
    </cfRule>
  </conditionalFormatting>
  <conditionalFormatting sqref="H214">
    <cfRule type="cellIs" dxfId="621" priority="446" operator="notEqual">
      <formula>ROUND(I214+SUM(K214:L214),0)</formula>
    </cfRule>
  </conditionalFormatting>
  <conditionalFormatting sqref="C215">
    <cfRule type="cellIs" dxfId="620" priority="447" operator="notEqual">
      <formula>ROUND(D215+SUM(F215:G215),0)</formula>
    </cfRule>
  </conditionalFormatting>
  <conditionalFormatting sqref="H215">
    <cfRule type="cellIs" dxfId="619" priority="448" operator="notEqual">
      <formula>ROUND(I215+SUM(K215:L215),0)</formula>
    </cfRule>
  </conditionalFormatting>
  <conditionalFormatting sqref="C216">
    <cfRule type="cellIs" dxfId="618" priority="449" operator="notEqual">
      <formula>ROUND(D216+SUM(F216:G216),0)</formula>
    </cfRule>
  </conditionalFormatting>
  <conditionalFormatting sqref="H216">
    <cfRule type="cellIs" dxfId="617" priority="450" operator="notEqual">
      <formula>ROUND(I216+SUM(K216:L216),0)</formula>
    </cfRule>
  </conditionalFormatting>
  <conditionalFormatting sqref="C217">
    <cfRule type="cellIs" dxfId="616" priority="451" operator="notEqual">
      <formula>ROUND(D217+SUM(F217:G217),0)</formula>
    </cfRule>
  </conditionalFormatting>
  <conditionalFormatting sqref="H217">
    <cfRule type="cellIs" dxfId="615" priority="452" operator="notEqual">
      <formula>ROUND(I217+SUM(K217:L217),0)</formula>
    </cfRule>
  </conditionalFormatting>
  <conditionalFormatting sqref="C218">
    <cfRule type="cellIs" dxfId="614" priority="453" operator="notEqual">
      <formula>ROUND(D218+SUM(F218:G218),0)</formula>
    </cfRule>
  </conditionalFormatting>
  <conditionalFormatting sqref="H218">
    <cfRule type="cellIs" dxfId="613" priority="454" operator="notEqual">
      <formula>ROUND(I218+SUM(K218:L218),0)</formula>
    </cfRule>
  </conditionalFormatting>
  <conditionalFormatting sqref="C219">
    <cfRule type="cellIs" dxfId="612" priority="455" operator="notEqual">
      <formula>ROUND(D219+SUM(F219:G219),0)</formula>
    </cfRule>
  </conditionalFormatting>
  <conditionalFormatting sqref="H219">
    <cfRule type="cellIs" dxfId="611" priority="456" operator="notEqual">
      <formula>ROUND(I219+SUM(K219:L219),0)</formula>
    </cfRule>
  </conditionalFormatting>
  <conditionalFormatting sqref="C220">
    <cfRule type="cellIs" dxfId="610" priority="457" operator="notEqual">
      <formula>ROUND(D220+SUM(F220:G220),0)</formula>
    </cfRule>
  </conditionalFormatting>
  <conditionalFormatting sqref="H220">
    <cfRule type="cellIs" dxfId="609" priority="458" operator="notEqual">
      <formula>ROUND(I220+SUM(K220:L220),0)</formula>
    </cfRule>
  </conditionalFormatting>
  <conditionalFormatting sqref="C221">
    <cfRule type="cellIs" dxfId="608" priority="459" operator="notEqual">
      <formula>ROUND(D221+SUM(F221:G221),0)</formula>
    </cfRule>
  </conditionalFormatting>
  <conditionalFormatting sqref="H221">
    <cfRule type="cellIs" dxfId="607" priority="460" operator="notEqual">
      <formula>ROUND(I221+SUM(K221:L221),0)</formula>
    </cfRule>
  </conditionalFormatting>
  <conditionalFormatting sqref="C222">
    <cfRule type="cellIs" dxfId="606" priority="461" operator="notEqual">
      <formula>ROUND(D222+SUM(F222:G222),0)</formula>
    </cfRule>
  </conditionalFormatting>
  <conditionalFormatting sqref="H222">
    <cfRule type="cellIs" dxfId="605" priority="462" operator="notEqual">
      <formula>ROUND(I222+SUM(K222:L222),0)</formula>
    </cfRule>
  </conditionalFormatting>
  <conditionalFormatting sqref="C223">
    <cfRule type="cellIs" dxfId="604" priority="463" operator="notEqual">
      <formula>ROUND(D223+SUM(F223:G223),0)</formula>
    </cfRule>
  </conditionalFormatting>
  <conditionalFormatting sqref="H223">
    <cfRule type="cellIs" dxfId="603" priority="464" operator="notEqual">
      <formula>ROUND(I223+SUM(K223:L223),0)</formula>
    </cfRule>
  </conditionalFormatting>
  <conditionalFormatting sqref="C224">
    <cfRule type="cellIs" dxfId="602" priority="465" operator="notEqual">
      <formula>ROUND(D224+SUM(F224:G224),0)</formula>
    </cfRule>
  </conditionalFormatting>
  <conditionalFormatting sqref="H224">
    <cfRule type="cellIs" dxfId="601" priority="466" operator="notEqual">
      <formula>ROUND(I224+SUM(K224:L224),0)</formula>
    </cfRule>
  </conditionalFormatting>
  <conditionalFormatting sqref="C225">
    <cfRule type="cellIs" dxfId="600" priority="467" operator="notEqual">
      <formula>ROUND(D225+SUM(F225:G225),0)</formula>
    </cfRule>
  </conditionalFormatting>
  <conditionalFormatting sqref="H225">
    <cfRule type="cellIs" dxfId="599" priority="468" operator="notEqual">
      <formula>ROUND(I225+SUM(K225:L225),0)</formula>
    </cfRule>
  </conditionalFormatting>
  <conditionalFormatting sqref="C226">
    <cfRule type="cellIs" dxfId="598" priority="469" operator="notEqual">
      <formula>ROUND(D226+SUM(F226:G226),0)</formula>
    </cfRule>
  </conditionalFormatting>
  <conditionalFormatting sqref="H226">
    <cfRule type="cellIs" dxfId="597" priority="470" operator="notEqual">
      <formula>ROUND(I226+SUM(K226:L226),0)</formula>
    </cfRule>
  </conditionalFormatting>
  <conditionalFormatting sqref="C227">
    <cfRule type="cellIs" dxfId="596" priority="471" operator="notEqual">
      <formula>ROUND(D227+SUM(F227:G227),0)</formula>
    </cfRule>
  </conditionalFormatting>
  <conditionalFormatting sqref="H227">
    <cfRule type="cellIs" dxfId="595" priority="472" operator="notEqual">
      <formula>ROUND(I227+SUM(K227:L227),0)</formula>
    </cfRule>
  </conditionalFormatting>
  <conditionalFormatting sqref="C228">
    <cfRule type="cellIs" dxfId="594" priority="473" operator="notEqual">
      <formula>ROUND(D228+SUM(F228:G228),0)</formula>
    </cfRule>
  </conditionalFormatting>
  <conditionalFormatting sqref="H228">
    <cfRule type="cellIs" dxfId="593" priority="474" operator="notEqual">
      <formula>ROUND(I228+SUM(K228:L228),0)</formula>
    </cfRule>
  </conditionalFormatting>
  <conditionalFormatting sqref="C229">
    <cfRule type="cellIs" dxfId="592" priority="475" operator="notEqual">
      <formula>ROUND(D229+SUM(F229:G229),0)</formula>
    </cfRule>
  </conditionalFormatting>
  <conditionalFormatting sqref="H229">
    <cfRule type="cellIs" dxfId="591" priority="476" operator="notEqual">
      <formula>ROUND(I229+SUM(K229:L229),0)</formula>
    </cfRule>
  </conditionalFormatting>
  <conditionalFormatting sqref="C230">
    <cfRule type="cellIs" dxfId="590" priority="477" operator="notEqual">
      <formula>ROUND(D230+SUM(F230:G230),0)</formula>
    </cfRule>
  </conditionalFormatting>
  <conditionalFormatting sqref="H230">
    <cfRule type="cellIs" dxfId="589" priority="478" operator="notEqual">
      <formula>ROUND(I230+SUM(K230:L230),0)</formula>
    </cfRule>
  </conditionalFormatting>
  <conditionalFormatting sqref="C231">
    <cfRule type="cellIs" dxfId="588" priority="479" operator="notEqual">
      <formula>ROUND(D231+SUM(F231:G231),0)</formula>
    </cfRule>
  </conditionalFormatting>
  <conditionalFormatting sqref="H231">
    <cfRule type="cellIs" dxfId="587" priority="480" operator="notEqual">
      <formula>ROUND(I231+SUM(K231:L231),0)</formula>
    </cfRule>
  </conditionalFormatting>
  <conditionalFormatting sqref="C232">
    <cfRule type="cellIs" dxfId="586" priority="481" operator="notEqual">
      <formula>ROUND(D232+SUM(F232:G232),0)</formula>
    </cfRule>
  </conditionalFormatting>
  <conditionalFormatting sqref="H232">
    <cfRule type="cellIs" dxfId="585" priority="482" operator="notEqual">
      <formula>ROUND(I232+SUM(K232:L232),0)</formula>
    </cfRule>
  </conditionalFormatting>
  <conditionalFormatting sqref="C233">
    <cfRule type="cellIs" dxfId="584" priority="483" operator="notEqual">
      <formula>ROUND(D233+SUM(F233:G233),0)</formula>
    </cfRule>
  </conditionalFormatting>
  <conditionalFormatting sqref="H233">
    <cfRule type="cellIs" dxfId="583" priority="484" operator="notEqual">
      <formula>ROUND(I233+SUM(K233:L233),0)</formula>
    </cfRule>
  </conditionalFormatting>
  <conditionalFormatting sqref="C234">
    <cfRule type="cellIs" dxfId="582" priority="485" operator="notEqual">
      <formula>ROUND(D234+SUM(F234:G234),0)</formula>
    </cfRule>
  </conditionalFormatting>
  <conditionalFormatting sqref="H234">
    <cfRule type="cellIs" dxfId="581" priority="486" operator="notEqual">
      <formula>ROUND(I234+SUM(K234:L234),0)</formula>
    </cfRule>
  </conditionalFormatting>
  <conditionalFormatting sqref="C235">
    <cfRule type="cellIs" dxfId="580" priority="487" operator="notEqual">
      <formula>ROUND(D235+SUM(F235:G235),0)</formula>
    </cfRule>
  </conditionalFormatting>
  <conditionalFormatting sqref="H235">
    <cfRule type="cellIs" dxfId="579" priority="488" operator="notEqual">
      <formula>ROUND(I235+SUM(K235:L235),0)</formula>
    </cfRule>
  </conditionalFormatting>
  <conditionalFormatting sqref="C236">
    <cfRule type="cellIs" dxfId="578" priority="489" operator="notEqual">
      <formula>ROUND(D236+SUM(F236:G236),0)</formula>
    </cfRule>
  </conditionalFormatting>
  <conditionalFormatting sqref="H236">
    <cfRule type="cellIs" dxfId="577" priority="490" operator="notEqual">
      <formula>ROUND(I236+SUM(K236:L236),0)</formula>
    </cfRule>
  </conditionalFormatting>
  <conditionalFormatting sqref="C237">
    <cfRule type="cellIs" dxfId="576" priority="491" operator="notEqual">
      <formula>ROUND(D237+SUM(F237:G237),0)</formula>
    </cfRule>
  </conditionalFormatting>
  <conditionalFormatting sqref="H237">
    <cfRule type="cellIs" dxfId="575" priority="492" operator="notEqual">
      <formula>ROUND(I237+SUM(K237:L237),0)</formula>
    </cfRule>
  </conditionalFormatting>
  <conditionalFormatting sqref="C238">
    <cfRule type="cellIs" dxfId="574" priority="493" operator="notEqual">
      <formula>ROUND(D238+SUM(F238:G238),0)</formula>
    </cfRule>
  </conditionalFormatting>
  <conditionalFormatting sqref="H238">
    <cfRule type="cellIs" dxfId="573" priority="494" operator="notEqual">
      <formula>ROUND(I238+SUM(K238:L238),0)</formula>
    </cfRule>
  </conditionalFormatting>
  <conditionalFormatting sqref="C239">
    <cfRule type="cellIs" dxfId="572" priority="495" operator="notEqual">
      <formula>ROUND(D239+SUM(F239:G239),0)</formula>
    </cfRule>
  </conditionalFormatting>
  <conditionalFormatting sqref="H239">
    <cfRule type="cellIs" dxfId="571" priority="496" operator="notEqual">
      <formula>ROUND(I239+SUM(K239:L239),0)</formula>
    </cfRule>
  </conditionalFormatting>
  <conditionalFormatting sqref="C240">
    <cfRule type="cellIs" dxfId="570" priority="497" operator="notEqual">
      <formula>ROUND(D240+SUM(F240:G240),0)</formula>
    </cfRule>
  </conditionalFormatting>
  <conditionalFormatting sqref="H240">
    <cfRule type="cellIs" dxfId="569" priority="498" operator="notEqual">
      <formula>ROUND(I240+SUM(K240:L240),0)</formula>
    </cfRule>
  </conditionalFormatting>
  <conditionalFormatting sqref="C241">
    <cfRule type="cellIs" dxfId="568" priority="499" operator="notEqual">
      <formula>ROUND(D241+SUM(F241:G241),0)</formula>
    </cfRule>
  </conditionalFormatting>
  <conditionalFormatting sqref="H241">
    <cfRule type="cellIs" dxfId="567" priority="500" operator="notEqual">
      <formula>ROUND(I241+SUM(K241:L241),0)</formula>
    </cfRule>
  </conditionalFormatting>
  <conditionalFormatting sqref="C242">
    <cfRule type="cellIs" dxfId="566" priority="501" operator="notEqual">
      <formula>ROUND(D242+SUM(F242:G242),0)</formula>
    </cfRule>
  </conditionalFormatting>
  <conditionalFormatting sqref="H242">
    <cfRule type="cellIs" dxfId="565" priority="502" operator="notEqual">
      <formula>ROUND(I242+SUM(K242:L242),0)</formula>
    </cfRule>
  </conditionalFormatting>
  <conditionalFormatting sqref="C243">
    <cfRule type="cellIs" dxfId="564" priority="503" operator="notEqual">
      <formula>ROUND(D243+SUM(F243:G243),0)</formula>
    </cfRule>
  </conditionalFormatting>
  <conditionalFormatting sqref="H243">
    <cfRule type="cellIs" dxfId="563" priority="504" operator="notEqual">
      <formula>ROUND(I243+SUM(K243:L243),0)</formula>
    </cfRule>
  </conditionalFormatting>
  <conditionalFormatting sqref="C244">
    <cfRule type="cellIs" dxfId="562" priority="505" operator="notEqual">
      <formula>ROUND(D244+SUM(F244:G244),0)</formula>
    </cfRule>
  </conditionalFormatting>
  <conditionalFormatting sqref="H244">
    <cfRule type="cellIs" dxfId="561" priority="506" operator="notEqual">
      <formula>ROUND(I244+SUM(K244:L244),0)</formula>
    </cfRule>
  </conditionalFormatting>
  <conditionalFormatting sqref="C245">
    <cfRule type="cellIs" dxfId="560" priority="507" operator="notEqual">
      <formula>ROUND(D245+SUM(F245:G245),0)</formula>
    </cfRule>
  </conditionalFormatting>
  <conditionalFormatting sqref="H245">
    <cfRule type="cellIs" dxfId="559" priority="508" operator="notEqual">
      <formula>ROUND(I245+SUM(K245:L245),0)</formula>
    </cfRule>
  </conditionalFormatting>
  <conditionalFormatting sqref="C246">
    <cfRule type="cellIs" dxfId="558" priority="509" operator="notEqual">
      <formula>ROUND(D246+SUM(F246:G246),0)</formula>
    </cfRule>
  </conditionalFormatting>
  <conditionalFormatting sqref="H246">
    <cfRule type="cellIs" dxfId="557" priority="510" operator="notEqual">
      <formula>ROUND(I246+SUM(K246:L246),0)</formula>
    </cfRule>
  </conditionalFormatting>
  <conditionalFormatting sqref="C247">
    <cfRule type="cellIs" dxfId="556" priority="511" operator="notEqual">
      <formula>ROUND(D247+SUM(F247:G247),0)</formula>
    </cfRule>
  </conditionalFormatting>
  <conditionalFormatting sqref="H247">
    <cfRule type="cellIs" dxfId="555" priority="512" operator="notEqual">
      <formula>ROUND(I247+SUM(K247:L247),0)</formula>
    </cfRule>
  </conditionalFormatting>
  <conditionalFormatting sqref="C248">
    <cfRule type="cellIs" dxfId="554" priority="513" operator="notEqual">
      <formula>ROUND(D248+SUM(F248:G248),0)</formula>
    </cfRule>
  </conditionalFormatting>
  <conditionalFormatting sqref="H248">
    <cfRule type="cellIs" dxfId="553" priority="514" operator="notEqual">
      <formula>ROUND(I248+SUM(K248:L248),0)</formula>
    </cfRule>
  </conditionalFormatting>
  <conditionalFormatting sqref="C249">
    <cfRule type="cellIs" dxfId="552" priority="515" operator="notEqual">
      <formula>ROUND(D249+SUM(F249:G249),0)</formula>
    </cfRule>
  </conditionalFormatting>
  <conditionalFormatting sqref="H249">
    <cfRule type="cellIs" dxfId="551" priority="516" operator="notEqual">
      <formula>ROUND(I249+SUM(K249:L249),0)</formula>
    </cfRule>
  </conditionalFormatting>
  <conditionalFormatting sqref="C250">
    <cfRule type="cellIs" dxfId="550" priority="517" operator="notEqual">
      <formula>ROUND(D250+SUM(F250:G250),0)</formula>
    </cfRule>
  </conditionalFormatting>
  <conditionalFormatting sqref="H250">
    <cfRule type="cellIs" dxfId="549" priority="518" operator="notEqual">
      <formula>ROUND(I250+SUM(K250:L250),0)</formula>
    </cfRule>
  </conditionalFormatting>
  <conditionalFormatting sqref="C251">
    <cfRule type="cellIs" dxfId="548" priority="519" operator="notEqual">
      <formula>ROUND(D251+SUM(F251:G251),0)</formula>
    </cfRule>
  </conditionalFormatting>
  <conditionalFormatting sqref="H251">
    <cfRule type="cellIs" dxfId="547" priority="520" operator="notEqual">
      <formula>ROUND(I251+SUM(K251:L251),0)</formula>
    </cfRule>
  </conditionalFormatting>
  <conditionalFormatting sqref="C252">
    <cfRule type="cellIs" dxfId="546" priority="521" operator="notEqual">
      <formula>ROUND(D252+SUM(F252:G252),0)</formula>
    </cfRule>
  </conditionalFormatting>
  <conditionalFormatting sqref="H252">
    <cfRule type="cellIs" dxfId="545" priority="522" operator="notEqual">
      <formula>ROUND(I252+SUM(K252:L252),0)</formula>
    </cfRule>
  </conditionalFormatting>
  <conditionalFormatting sqref="C253">
    <cfRule type="cellIs" dxfId="544" priority="523" operator="notEqual">
      <formula>ROUND(D253+SUM(F253:G253),0)</formula>
    </cfRule>
  </conditionalFormatting>
  <conditionalFormatting sqref="H253">
    <cfRule type="cellIs" dxfId="543" priority="524" operator="notEqual">
      <formula>ROUND(I253+SUM(K253:L253),0)</formula>
    </cfRule>
  </conditionalFormatting>
  <conditionalFormatting sqref="C254">
    <cfRule type="cellIs" dxfId="542" priority="525" operator="notEqual">
      <formula>ROUND(D254+SUM(F254:G254),0)</formula>
    </cfRule>
  </conditionalFormatting>
  <conditionalFormatting sqref="H254">
    <cfRule type="cellIs" dxfId="541" priority="526" operator="notEqual">
      <formula>ROUND(I254+SUM(K254:L254),0)</formula>
    </cfRule>
  </conditionalFormatting>
  <conditionalFormatting sqref="C255">
    <cfRule type="cellIs" dxfId="540" priority="527" operator="notEqual">
      <formula>ROUND(D255+SUM(F255:G255),0)</formula>
    </cfRule>
  </conditionalFormatting>
  <conditionalFormatting sqref="H255">
    <cfRule type="cellIs" dxfId="539" priority="528" operator="notEqual">
      <formula>ROUND(I255+SUM(K255:L255),0)</formula>
    </cfRule>
  </conditionalFormatting>
  <conditionalFormatting sqref="C256">
    <cfRule type="cellIs" dxfId="538" priority="529" operator="notEqual">
      <formula>ROUND(D256+SUM(F256:G256),0)</formula>
    </cfRule>
  </conditionalFormatting>
  <conditionalFormatting sqref="H256">
    <cfRule type="cellIs" dxfId="537" priority="530" operator="notEqual">
      <formula>ROUND(I256+SUM(K256:L256),0)</formula>
    </cfRule>
  </conditionalFormatting>
  <conditionalFormatting sqref="C257">
    <cfRule type="cellIs" dxfId="536" priority="531" operator="notEqual">
      <formula>ROUND(D257+SUM(F257:G257),0)</formula>
    </cfRule>
  </conditionalFormatting>
  <conditionalFormatting sqref="H257">
    <cfRule type="cellIs" dxfId="535" priority="532" operator="notEqual">
      <formula>ROUND(I257+SUM(K257:L257),0)</formula>
    </cfRule>
  </conditionalFormatting>
  <conditionalFormatting sqref="C258">
    <cfRule type="cellIs" dxfId="534" priority="533" operator="notEqual">
      <formula>ROUND(D258+SUM(F258:G258),0)</formula>
    </cfRule>
  </conditionalFormatting>
  <conditionalFormatting sqref="H258">
    <cfRule type="cellIs" dxfId="533" priority="534" operator="notEqual">
      <formula>ROUND(I258+SUM(K258:L258),0)</formula>
    </cfRule>
  </conditionalFormatting>
  <conditionalFormatting sqref="C259">
    <cfRule type="cellIs" dxfId="532" priority="535" operator="notEqual">
      <formula>ROUND(D259+SUM(F259:G259),0)</formula>
    </cfRule>
  </conditionalFormatting>
  <conditionalFormatting sqref="H259">
    <cfRule type="cellIs" dxfId="531" priority="536" operator="notEqual">
      <formula>ROUND(I259+SUM(K259:L259),0)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0"/>
  <sheetViews>
    <sheetView showGridLines="0" workbookViewId="0"/>
  </sheetViews>
  <sheetFormatPr defaultRowHeight="15" x14ac:dyDescent="0.25"/>
  <cols>
    <col min="1" max="1" width="63.28515625" customWidth="1"/>
    <col min="2" max="2" width="10" customWidth="1"/>
    <col min="13" max="13" width="250" customWidth="1"/>
  </cols>
  <sheetData>
    <row r="1" spans="1:13" ht="50.1" customHeight="1" x14ac:dyDescent="0.25">
      <c r="A1" s="12" t="s">
        <v>548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3" x14ac:dyDescent="0.25">
      <c r="A2" s="14" t="s">
        <v>14</v>
      </c>
      <c r="B2" s="14" t="s">
        <v>15</v>
      </c>
      <c r="C2" s="14" t="s">
        <v>549</v>
      </c>
      <c r="D2" s="14"/>
      <c r="E2" s="14"/>
      <c r="F2" s="14"/>
      <c r="G2" s="14"/>
      <c r="H2" s="14" t="s">
        <v>550</v>
      </c>
      <c r="I2" s="14"/>
      <c r="J2" s="14"/>
      <c r="K2" s="14"/>
      <c r="L2" s="14"/>
    </row>
    <row r="3" spans="1:13" x14ac:dyDescent="0.25">
      <c r="A3" s="14"/>
      <c r="B3" s="14"/>
      <c r="C3" s="14" t="s">
        <v>18</v>
      </c>
      <c r="D3" s="14" t="s">
        <v>19</v>
      </c>
      <c r="E3" s="14"/>
      <c r="F3" s="14"/>
      <c r="G3" s="14"/>
      <c r="H3" s="14" t="s">
        <v>18</v>
      </c>
      <c r="I3" s="14" t="s">
        <v>551</v>
      </c>
      <c r="J3" s="14"/>
      <c r="K3" s="14"/>
      <c r="L3" s="14"/>
    </row>
    <row r="4" spans="1:13" ht="60" x14ac:dyDescent="0.25">
      <c r="A4" s="14"/>
      <c r="B4" s="14"/>
      <c r="C4" s="14"/>
      <c r="D4" s="1" t="s">
        <v>20</v>
      </c>
      <c r="E4" s="1" t="s">
        <v>21</v>
      </c>
      <c r="F4" s="1" t="s">
        <v>22</v>
      </c>
      <c r="G4" s="1" t="s">
        <v>23</v>
      </c>
      <c r="H4" s="14"/>
      <c r="I4" s="1" t="s">
        <v>20</v>
      </c>
      <c r="J4" s="1" t="s">
        <v>21</v>
      </c>
      <c r="K4" s="1" t="s">
        <v>22</v>
      </c>
      <c r="L4" s="1" t="s">
        <v>23</v>
      </c>
    </row>
    <row r="5" spans="1:13" x14ac:dyDescent="0.25">
      <c r="A5" s="14"/>
      <c r="B5" s="14"/>
      <c r="C5" s="1" t="s">
        <v>24</v>
      </c>
      <c r="D5" s="1" t="s">
        <v>25</v>
      </c>
      <c r="E5" s="1" t="s">
        <v>26</v>
      </c>
      <c r="F5" s="1" t="s">
        <v>27</v>
      </c>
      <c r="G5" s="1" t="s">
        <v>28</v>
      </c>
      <c r="H5" s="1" t="s">
        <v>29</v>
      </c>
      <c r="I5" s="1" t="s">
        <v>30</v>
      </c>
      <c r="J5" s="1" t="s">
        <v>31</v>
      </c>
      <c r="K5" s="1" t="s">
        <v>32</v>
      </c>
      <c r="L5" s="1" t="s">
        <v>33</v>
      </c>
    </row>
    <row r="6" spans="1:13" ht="30" customHeight="1" x14ac:dyDescent="0.25">
      <c r="A6" s="2" t="s">
        <v>552</v>
      </c>
      <c r="B6" s="1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3" ht="30" customHeight="1" x14ac:dyDescent="0.25">
      <c r="A7" s="2" t="s">
        <v>18</v>
      </c>
      <c r="B7" s="1" t="s">
        <v>553</v>
      </c>
      <c r="C7" s="7"/>
      <c r="D7" s="7"/>
      <c r="E7" s="7"/>
      <c r="F7" s="7"/>
      <c r="G7" s="7"/>
      <c r="H7" s="7"/>
      <c r="I7" s="7"/>
      <c r="J7" s="7"/>
      <c r="K7" s="7"/>
      <c r="L7" s="7"/>
      <c r="M7" s="3" t="str">
        <f>IFERROR(IF(C7=ROUND(C8+C20+C259,0)," "," Стр. 254, Гр. 1 [C7]  д.б. = [Окр(C8+C20+C259,0)] {" &amp; ROUND(C8+C20+C259,0) &amp; "}.")," ") &amp; IFERROR(IF(C7=ROUND(D7+SUM(F7:G7),0)," "," Стр. 254, Гр. 1 [C7]  д.б. = [Окр(D7+Сум(F7:G7),0)] {" &amp; ROUND(D7+SUM(F7:G7),0) &amp; "}.")," ") &amp; IFERROR(IF(H7=ROUND(I7+SUM(K7:L7),0)," "," Стр. 254, Гр. 6 [H7]  д.б. = [Окр(I7+Сум(K7:L7),0)] {" &amp; ROUND(I7+SUM(K7:L7),0) &amp; "}.")," ")</f>
        <v xml:space="preserve">   </v>
      </c>
    </row>
    <row r="8" spans="1:13" ht="30" customHeight="1" x14ac:dyDescent="0.25">
      <c r="A8" s="2" t="s">
        <v>36</v>
      </c>
      <c r="B8" s="1" t="s">
        <v>554</v>
      </c>
      <c r="C8" s="7"/>
      <c r="D8" s="7"/>
      <c r="E8" s="7"/>
      <c r="F8" s="7"/>
      <c r="G8" s="7"/>
      <c r="H8" s="7"/>
      <c r="I8" s="7"/>
      <c r="J8" s="7"/>
      <c r="K8" s="7"/>
      <c r="L8" s="7"/>
      <c r="M8" s="3" t="str">
        <f>IFERROR(IF(C8=ROUND(D8+SUM(F8:G8),0)," "," Стр. 255, Гр. 1 [C8]  д.б. = [Окр(D8+Сум(F8:G8),0)] {" &amp; ROUND(D8+SUM(F8:G8),0) &amp; "}.")," ") &amp; IFERROR(IF(C8=ROUND(SUM(C9:C19),0)," "," Стр. 255, Гр. 1 [C8]  д.б. = [Окр(Сум(C9:C19),0)] {" &amp; ROUND(SUM(C9:C19),0) &amp; "}.")," ") &amp; IFERROR(IF(D8=ROUND(SUM(D9:D19),0)," "," Стр. 255, Гр. 2 [D8]  д.б. = [Окр(Сум(D9:D19),0)] {" &amp; ROUND(SUM(D9:D19),0) &amp; "}.")," ") &amp; IFERROR(IF(E8=ROUND(SUM(E9:E19),0)," "," Стр. 255, Гр. 3 [E8]  д.б. = [Окр(Сум(E9:E19),0)] {" &amp; ROUND(SUM(E9:E19),0) &amp; "}.")," ") &amp; IFERROR(IF(F8=ROUND(SUM(F9:F19),0)," "," Стр. 255, Гр. 4 [F8]  д.б. = [Окр(Сум(F9:F19),0)] {" &amp; ROUND(SUM(F9:F19),0) &amp; "}.")," ") &amp; IFERROR(IF(G8=ROUND(SUM(G9:G19),0)," "," Стр. 255, Гр. 5 [G8]  д.б. = [Окр(Сум(G9:G19),0)] {" &amp; ROUND(SUM(G9:G19),0) &amp; "}.")," ") &amp; IFERROR(IF(H8=ROUND(I8+SUM(K8:L8),0)," "," Стр. 255, Гр. 6 [H8]  д.б. = [Окр(I8+Сум(K8:L8),0)] {" &amp; ROUND(I8+SUM(K8:L8),0) &amp; "}.")," ") &amp; IFERROR(IF(H8=ROUND(SUM(H9:H19),0)," "," Стр. 255, Гр. 6 [H8]  д.б. = [Окр(Сум(H9:H19),0)] {" &amp; ROUND(SUM(H9:H19),0) &amp; "}.")," ") &amp; IFERROR(IF(I8=ROUND(SUM(I9:I19),0)," "," Стр. 255, Гр. 7 [I8]  д.б. = [Окр(Сум(I9:I19),0)] {" &amp; ROUND(SUM(I9:I19),0) &amp; "}.")," ") &amp; IFERROR(IF(J8=ROUND(SUM(J9:J19),0)," "," Стр. 255, Гр. 8 [J8]  д.б. = [Окр(Сум(J9:J19),0)] {" &amp; ROUND(SUM(J9:J19),0) &amp; "}.")," ") &amp; IFERROR(IF(K8=ROUND(SUM(K9:K19),0)," "," Стр. 255, Гр. 9 [K8]  д.б. = [Окр(Сум(K9:K19),0)] {" &amp; ROUND(SUM(K9:K19),0) &amp; "}.")," ") &amp; IFERROR(IF(L8=ROUND(SUM(L9:L19),0)," "," Стр. 255, Гр. 10 [L8]  д.б. = [Окр(Сум(L9:L19),0)] {" &amp; ROUND(SUM(L9:L19),0) &amp; "}.")," ")</f>
        <v xml:space="preserve">            </v>
      </c>
    </row>
    <row r="9" spans="1:13" ht="30" customHeight="1" x14ac:dyDescent="0.25">
      <c r="A9" s="2" t="s">
        <v>38</v>
      </c>
      <c r="B9" s="1" t="s">
        <v>555</v>
      </c>
      <c r="C9" s="7"/>
      <c r="D9" s="7"/>
      <c r="E9" s="7"/>
      <c r="F9" s="7"/>
      <c r="G9" s="7"/>
      <c r="H9" s="7"/>
      <c r="I9" s="7"/>
      <c r="J9" s="7"/>
      <c r="K9" s="7"/>
      <c r="L9" s="7"/>
      <c r="M9" s="3" t="str">
        <f>IFERROR(IF(C9=ROUND(D9+SUM(F9:G9),0)," "," Стр. 256, Гр. 1 [C9]  д.б. = [Окр(D9+Сум(F9:G9),0)] {" &amp; ROUND(D9+SUM(F9:G9),0) &amp; "}.")," ") &amp; IFERROR(IF(H9=ROUND(I9+SUM(K9:L9),0)," "," Стр. 256, Гр. 6 [H9]  д.б. = [Окр(I9+Сум(K9:L9),0)] {" &amp; ROUND(I9+SUM(K9:L9),0) &amp; "}.")," ")</f>
        <v xml:space="preserve">  </v>
      </c>
    </row>
    <row r="10" spans="1:13" ht="30" customHeight="1" x14ac:dyDescent="0.25">
      <c r="A10" s="2" t="s">
        <v>40</v>
      </c>
      <c r="B10" s="1" t="s">
        <v>556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3" t="str">
        <f>IFERROR(IF(C10=ROUND(D10+SUM(F10:G10),0)," "," Стр. 257, Гр. 1 [C10]  д.б. = [Окр(D10+Сум(F10:G10),0)] {" &amp; ROUND(D10+SUM(F10:G10),0) &amp; "}.")," ") &amp; IFERROR(IF(H10=ROUND(I10+SUM(K10:L10),0)," "," Стр. 257, Гр. 6 [H10]  д.б. = [Окр(I10+Сум(K10:L10),0)] {" &amp; ROUND(I10+SUM(K10:L10),0) &amp; "}.")," ")</f>
        <v xml:space="preserve">  </v>
      </c>
    </row>
    <row r="11" spans="1:13" ht="30" customHeight="1" x14ac:dyDescent="0.25">
      <c r="A11" s="2" t="s">
        <v>42</v>
      </c>
      <c r="B11" s="1" t="s">
        <v>557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3" t="str">
        <f>IFERROR(IF(C11=ROUND(D11+SUM(F11:G11),0)," "," Стр. 258, Гр. 1 [C11]  д.б. = [Окр(D11+Сум(F11:G11),0)] {" &amp; ROUND(D11+SUM(F11:G11),0) &amp; "}.")," ") &amp; IFERROR(IF(H11=ROUND(I11+SUM(K11:L11),0)," "," Стр. 258, Гр. 6 [H11]  д.б. = [Окр(I11+Сум(K11:L11),0)] {" &amp; ROUND(I11+SUM(K11:L11),0) &amp; "}.")," ")</f>
        <v xml:space="preserve">  </v>
      </c>
    </row>
    <row r="12" spans="1:13" ht="30" customHeight="1" x14ac:dyDescent="0.25">
      <c r="A12" s="2" t="s">
        <v>44</v>
      </c>
      <c r="B12" s="1" t="s">
        <v>558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3" t="str">
        <f>IFERROR(IF(C12=ROUND(D12+SUM(F12:G12),0)," "," Стр. 259, Гр. 1 [C12]  д.б. = [Окр(D12+Сум(F12:G12),0)] {" &amp; ROUND(D12+SUM(F12:G12),0) &amp; "}.")," ") &amp; IFERROR(IF(H12=ROUND(I12+SUM(K12:L12),0)," "," Стр. 259, Гр. 6 [H12]  д.б. = [Окр(I12+Сум(K12:L12),0)] {" &amp; ROUND(I12+SUM(K12:L12),0) &amp; "}.")," ")</f>
        <v xml:space="preserve">  </v>
      </c>
    </row>
    <row r="13" spans="1:13" ht="30" customHeight="1" x14ac:dyDescent="0.25">
      <c r="A13" s="2" t="s">
        <v>46</v>
      </c>
      <c r="B13" s="1" t="s">
        <v>559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3" t="str">
        <f>IFERROR(IF(C13=ROUND(D13+SUM(F13:G13),0)," "," Стр. 260, Гр. 1 [C13]  д.б. = [Окр(D13+Сум(F13:G13),0)] {" &amp; ROUND(D13+SUM(F13:G13),0) &amp; "}.")," ") &amp; IFERROR(IF(H13=ROUND(I13+SUM(K13:L13),0)," "," Стр. 260, Гр. 6 [H13]  д.б. = [Окр(I13+Сум(K13:L13),0)] {" &amp; ROUND(I13+SUM(K13:L13),0) &amp; "}.")," ")</f>
        <v xml:space="preserve">  </v>
      </c>
    </row>
    <row r="14" spans="1:13" ht="30" customHeight="1" x14ac:dyDescent="0.25">
      <c r="A14" s="2" t="s">
        <v>48</v>
      </c>
      <c r="B14" s="1" t="s">
        <v>560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3" t="str">
        <f>IFERROR(IF(C14=ROUND(D14+SUM(F14:G14),0)," "," Стр. 261, Гр. 1 [C14]  д.б. = [Окр(D14+Сум(F14:G14),0)] {" &amp; ROUND(D14+SUM(F14:G14),0) &amp; "}.")," ") &amp; IFERROR(IF(H14=ROUND(I14+SUM(K14:L14),0)," "," Стр. 261, Гр. 6 [H14]  д.б. = [Окр(I14+Сум(K14:L14),0)] {" &amp; ROUND(I14+SUM(K14:L14),0) &amp; "}.")," ")</f>
        <v xml:space="preserve">  </v>
      </c>
    </row>
    <row r="15" spans="1:13" ht="30" customHeight="1" x14ac:dyDescent="0.25">
      <c r="A15" s="2" t="s">
        <v>50</v>
      </c>
      <c r="B15" s="1" t="s">
        <v>561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3" t="str">
        <f>IFERROR(IF(C15=ROUND(D15+SUM(F15:G15),0)," "," Стр. 262, Гр. 1 [C15]  д.б. = [Окр(D15+Сум(F15:G15),0)] {" &amp; ROUND(D15+SUM(F15:G15),0) &amp; "}.")," ") &amp; IFERROR(IF(H15=ROUND(I15+SUM(K15:L15),0)," "," Стр. 262, Гр. 6 [H15]  д.б. = [Окр(I15+Сум(K15:L15),0)] {" &amp; ROUND(I15+SUM(K15:L15),0) &amp; "}.")," ")</f>
        <v xml:space="preserve">  </v>
      </c>
    </row>
    <row r="16" spans="1:13" ht="30" customHeight="1" x14ac:dyDescent="0.25">
      <c r="A16" s="2" t="s">
        <v>52</v>
      </c>
      <c r="B16" s="1" t="s">
        <v>562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3" t="str">
        <f>IFERROR(IF(C16=ROUND(D16+SUM(F16:G16),0)," "," Стр. 263, Гр. 1 [C16]  д.б. = [Окр(D16+Сум(F16:G16),0)] {" &amp; ROUND(D16+SUM(F16:G16),0) &amp; "}.")," ") &amp; IFERROR(IF(H16=ROUND(I16+SUM(K16:L16),0)," "," Стр. 263, Гр. 6 [H16]  д.б. = [Окр(I16+Сум(K16:L16),0)] {" &amp; ROUND(I16+SUM(K16:L16),0) &amp; "}.")," ")</f>
        <v xml:space="preserve">  </v>
      </c>
    </row>
    <row r="17" spans="1:13" ht="30" customHeight="1" x14ac:dyDescent="0.25">
      <c r="A17" s="2" t="s">
        <v>53</v>
      </c>
      <c r="B17" s="1" t="s">
        <v>563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3" t="str">
        <f>IFERROR(IF(C17=ROUND(D17+SUM(F17:G17),0)," "," Стр. 264, Гр. 1 [C17]  д.б. = [Окр(D17+Сум(F17:G17),0)] {" &amp; ROUND(D17+SUM(F17:G17),0) &amp; "}.")," ") &amp; IFERROR(IF(H17=ROUND(I17+SUM(K17:L17),0)," "," Стр. 264, Гр. 6 [H17]  д.б. = [Окр(I17+Сум(K17:L17),0)] {" &amp; ROUND(I17+SUM(K17:L17),0) &amp; "}.")," ")</f>
        <v xml:space="preserve">  </v>
      </c>
    </row>
    <row r="18" spans="1:13" ht="30" customHeight="1" x14ac:dyDescent="0.25">
      <c r="A18" s="2" t="s">
        <v>55</v>
      </c>
      <c r="B18" s="1" t="s">
        <v>564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3" t="str">
        <f>IFERROR(IF(C18=ROUND(D18+SUM(F18:G18),0)," "," Стр. 265, Гр. 1 [C18]  д.б. = [Окр(D18+Сум(F18:G18),0)] {" &amp; ROUND(D18+SUM(F18:G18),0) &amp; "}.")," ") &amp; IFERROR(IF(H18=ROUND(I18+SUM(K18:L18),0)," "," Стр. 265, Гр. 6 [H18]  д.б. = [Окр(I18+Сум(K18:L18),0)] {" &amp; ROUND(I18+SUM(K18:L18),0) &amp; "}.")," ")</f>
        <v xml:space="preserve">  </v>
      </c>
    </row>
    <row r="19" spans="1:13" ht="30" customHeight="1" x14ac:dyDescent="0.25">
      <c r="A19" s="2" t="s">
        <v>57</v>
      </c>
      <c r="B19" s="1" t="s">
        <v>565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3" t="str">
        <f>IFERROR(IF(C19=ROUND(D19+SUM(F19:G19),0)," "," Стр. 266, Гр. 1 [C19]  д.б. = [Окр(D19+Сум(F19:G19),0)] {" &amp; ROUND(D19+SUM(F19:G19),0) &amp; "}.")," ") &amp; IFERROR(IF(H19=ROUND(I19+SUM(K19:L19),0)," "," Стр. 266, Гр. 6 [H19]  д.б. = [Окр(I19+Сум(K19:L19),0)] {" &amp; ROUND(I19+SUM(K19:L19),0) &amp; "}.")," ")</f>
        <v xml:space="preserve">  </v>
      </c>
    </row>
    <row r="20" spans="1:13" ht="30" customHeight="1" x14ac:dyDescent="0.25">
      <c r="A20" s="2" t="s">
        <v>59</v>
      </c>
      <c r="B20" s="1" t="s">
        <v>566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3" t="str">
        <f>IFERROR(IF(C20=ROUND(D20+SUM(F20:G20),0)," "," Стр. 267, Гр. 1 [C20]  д.б. = [Окр(D20+Сум(F20:G20),0)] {" &amp; ROUND(D20+SUM(F20:G20),0) &amp; "}.")," ") &amp; IFERROR(IF(C20=ROUND(SUM(C21:C258),0)," "," Стр. 267, Гр. 1 [C20]  д.б. = [Окр(Сум(C21:C258),0)] {" &amp; ROUND(SUM(C21:C258),0) &amp; "}.")," ") &amp; IFERROR(IF(D20=ROUND(SUM(D21:D258),0)," "," Стр. 267, Гр. 2 [D20]  д.б. = [Окр(Сум(D21:D258),0)] {" &amp; ROUND(SUM(D21:D258),0) &amp; "}.")," ") &amp; IFERROR(IF(E20=ROUND(SUM(E21:E258),0)," "," Стр. 267, Гр. 3 [E20]  д.б. = [Окр(Сум(E21:E258),0)] {" &amp; ROUND(SUM(E21:E258),0) &amp; "}.")," ") &amp; IFERROR(IF(F20=ROUND(SUM(F21:F258),0)," "," Стр. 267, Гр. 4 [F20]  д.б. = [Окр(Сум(F21:F258),0)] {" &amp; ROUND(SUM(F21:F258),0) &amp; "}.")," ") &amp; IFERROR(IF(G20=ROUND(SUM(G21:G258),0)," "," Стр. 267, Гр. 5 [G20]  д.б. = [Окр(Сум(G21:G258),0)] {" &amp; ROUND(SUM(G21:G258),0) &amp; "}.")," ") &amp; IFERROR(IF(H20=ROUND(I20+SUM(K20:L20),0)," "," Стр. 267, Гр. 6 [H20]  д.б. = [Окр(I20+Сум(K20:L20),0)] {" &amp; ROUND(I20+SUM(K20:L20),0) &amp; "}.")," ") &amp; IFERROR(IF(H20=ROUND(SUM(H21:H258),0)," "," Стр. 267, Гр. 6 [H20]  д.б. = [Окр(Сум(H21:H258),0)] {" &amp; ROUND(SUM(H21:H258),0) &amp; "}.")," ") &amp; IFERROR(IF(I20=ROUND(SUM(I21:I258),0)," "," Стр. 267, Гр. 7 [I20]  д.б. = [Окр(Сум(I21:I258),0)] {" &amp; ROUND(SUM(I21:I258),0) &amp; "}.")," ") &amp; IFERROR(IF(J20=ROUND(SUM(J21:J258),0)," "," Стр. 267, Гр. 8 [J20]  д.б. = [Окр(Сум(J21:J258),0)] {" &amp; ROUND(SUM(J21:J258),0) &amp; "}.")," ") &amp; IFERROR(IF(K20=ROUND(SUM(K21:K258),0)," "," Стр. 267, Гр. 9 [K20]  д.б. = [Окр(Сум(K21:K258),0)] {" &amp; ROUND(SUM(K21:K258),0) &amp; "}.")," ") &amp; IFERROR(IF(L20=ROUND(SUM(L21:L258),0)," "," Стр. 267, Гр. 10 [L20]  д.б. = [Окр(Сум(L21:L258),0)] {" &amp; ROUND(SUM(L21:L258),0) &amp; "}.")," ")</f>
        <v xml:space="preserve">            </v>
      </c>
    </row>
    <row r="21" spans="1:13" ht="30" customHeight="1" x14ac:dyDescent="0.25">
      <c r="A21" s="2" t="s">
        <v>61</v>
      </c>
      <c r="B21" s="1" t="s">
        <v>567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3" t="str">
        <f>IFERROR(IF(C21=ROUND(D21+SUM(F21:G21),0)," "," Стр. 268, Гр. 1 [C21]  д.б. = [Окр(D21+Сум(F21:G21),0)] {" &amp; ROUND(D21+SUM(F21:G21),0) &amp; "}.")," ") &amp; IFERROR(IF(H21=ROUND(I21+SUM(K21:L21),0)," "," Стр. 268, Гр. 6 [H21]  д.б. = [Окр(I21+Сум(K21:L21),0)] {" &amp; ROUND(I21+SUM(K21:L21),0) &amp; "}.")," ")</f>
        <v xml:space="preserve">  </v>
      </c>
    </row>
    <row r="22" spans="1:13" ht="30" customHeight="1" x14ac:dyDescent="0.25">
      <c r="A22" s="2" t="s">
        <v>63</v>
      </c>
      <c r="B22" s="1" t="s">
        <v>568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3" t="str">
        <f>IFERROR(IF(C22=ROUND(D22+SUM(F22:G22),0)," "," Стр. 269, Гр. 1 [C22]  д.б. = [Окр(D22+Сум(F22:G22),0)] {" &amp; ROUND(D22+SUM(F22:G22),0) &amp; "}.")," ") &amp; IFERROR(IF(H22=ROUND(I22+SUM(K22:L22),0)," "," Стр. 269, Гр. 6 [H22]  д.б. = [Окр(I22+Сум(K22:L22),0)] {" &amp; ROUND(I22+SUM(K22:L22),0) &amp; "}.")," ")</f>
        <v xml:space="preserve">  </v>
      </c>
    </row>
    <row r="23" spans="1:13" ht="30" customHeight="1" x14ac:dyDescent="0.25">
      <c r="A23" s="2" t="s">
        <v>65</v>
      </c>
      <c r="B23" s="1" t="s">
        <v>569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3" t="str">
        <f>IFERROR(IF(C23=ROUND(D23+SUM(F23:G23),0)," "," Стр. 270, Гр. 1 [C23]  д.б. = [Окр(D23+Сум(F23:G23),0)] {" &amp; ROUND(D23+SUM(F23:G23),0) &amp; "}.")," ") &amp; IFERROR(IF(H23=ROUND(I23+SUM(K23:L23),0)," "," Стр. 270, Гр. 6 [H23]  д.б. = [Окр(I23+Сум(K23:L23),0)] {" &amp; ROUND(I23+SUM(K23:L23),0) &amp; "}.")," ")</f>
        <v xml:space="preserve">  </v>
      </c>
    </row>
    <row r="24" spans="1:13" ht="30" customHeight="1" x14ac:dyDescent="0.25">
      <c r="A24" s="2" t="s">
        <v>67</v>
      </c>
      <c r="B24" s="1" t="s">
        <v>570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3" t="str">
        <f>IFERROR(IF(C24=ROUND(D24+SUM(F24:G24),0)," "," Стр. 271, Гр. 1 [C24]  д.б. = [Окр(D24+Сум(F24:G24),0)] {" &amp; ROUND(D24+SUM(F24:G24),0) &amp; "}.")," ") &amp; IFERROR(IF(H24=ROUND(I24+SUM(K24:L24),0)," "," Стр. 271, Гр. 6 [H24]  д.б. = [Окр(I24+Сум(K24:L24),0)] {" &amp; ROUND(I24+SUM(K24:L24),0) &amp; "}.")," ")</f>
        <v xml:space="preserve">  </v>
      </c>
    </row>
    <row r="25" spans="1:13" ht="30" customHeight="1" x14ac:dyDescent="0.25">
      <c r="A25" s="2" t="s">
        <v>69</v>
      </c>
      <c r="B25" s="1" t="s">
        <v>571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3" t="str">
        <f>IFERROR(IF(C25=ROUND(D25+SUM(F25:G25),0)," "," Стр. 272, Гр. 1 [C25]  д.б. = [Окр(D25+Сум(F25:G25),0)] {" &amp; ROUND(D25+SUM(F25:G25),0) &amp; "}.")," ") &amp; IFERROR(IF(H25=ROUND(I25+SUM(K25:L25),0)," "," Стр. 272, Гр. 6 [H25]  д.б. = [Окр(I25+Сум(K25:L25),0)] {" &amp; ROUND(I25+SUM(K25:L25),0) &amp; "}.")," ")</f>
        <v xml:space="preserve">  </v>
      </c>
    </row>
    <row r="26" spans="1:13" ht="30" customHeight="1" x14ac:dyDescent="0.25">
      <c r="A26" s="2" t="s">
        <v>71</v>
      </c>
      <c r="B26" s="1" t="s">
        <v>572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3" t="str">
        <f>IFERROR(IF(C26=ROUND(D26+SUM(F26:G26),0)," "," Стр. 273, Гр. 1 [C26]  д.б. = [Окр(D26+Сум(F26:G26),0)] {" &amp; ROUND(D26+SUM(F26:G26),0) &amp; "}.")," ") &amp; IFERROR(IF(H26=ROUND(I26+SUM(K26:L26),0)," "," Стр. 273, Гр. 6 [H26]  д.б. = [Окр(I26+Сум(K26:L26),0)] {" &amp; ROUND(I26+SUM(K26:L26),0) &amp; "}.")," ")</f>
        <v xml:space="preserve">  </v>
      </c>
    </row>
    <row r="27" spans="1:13" ht="30" customHeight="1" x14ac:dyDescent="0.25">
      <c r="A27" s="2" t="s">
        <v>73</v>
      </c>
      <c r="B27" s="1" t="s">
        <v>573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3" t="str">
        <f>IFERROR(IF(C27=ROUND(D27+SUM(F27:G27),0)," "," Стр. 274, Гр. 1 [C27]  д.б. = [Окр(D27+Сум(F27:G27),0)] {" &amp; ROUND(D27+SUM(F27:G27),0) &amp; "}.")," ") &amp; IFERROR(IF(H27=ROUND(I27+SUM(K27:L27),0)," "," Стр. 274, Гр. 6 [H27]  д.б. = [Окр(I27+Сум(K27:L27),0)] {" &amp; ROUND(I27+SUM(K27:L27),0) &amp; "}.")," ")</f>
        <v xml:space="preserve">  </v>
      </c>
    </row>
    <row r="28" spans="1:13" ht="30" customHeight="1" x14ac:dyDescent="0.25">
      <c r="A28" s="2" t="s">
        <v>75</v>
      </c>
      <c r="B28" s="1" t="s">
        <v>574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3" t="str">
        <f>IFERROR(IF(C28=ROUND(D28+SUM(F28:G28),0)," "," Стр. 275, Гр. 1 [C28]  д.б. = [Окр(D28+Сум(F28:G28),0)] {" &amp; ROUND(D28+SUM(F28:G28),0) &amp; "}.")," ") &amp; IFERROR(IF(H28=ROUND(I28+SUM(K28:L28),0)," "," Стр. 275, Гр. 6 [H28]  д.б. = [Окр(I28+Сум(K28:L28),0)] {" &amp; ROUND(I28+SUM(K28:L28),0) &amp; "}.")," ")</f>
        <v xml:space="preserve">  </v>
      </c>
    </row>
    <row r="29" spans="1:13" ht="30" customHeight="1" x14ac:dyDescent="0.25">
      <c r="A29" s="2" t="s">
        <v>77</v>
      </c>
      <c r="B29" s="1" t="s">
        <v>575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3" t="str">
        <f>IFERROR(IF(C29=ROUND(D29+SUM(F29:G29),0)," "," Стр. 276, Гр. 1 [C29]  д.б. = [Окр(D29+Сум(F29:G29),0)] {" &amp; ROUND(D29+SUM(F29:G29),0) &amp; "}.")," ") &amp; IFERROR(IF(H29=ROUND(I29+SUM(K29:L29),0)," "," Стр. 276, Гр. 6 [H29]  д.б. = [Окр(I29+Сум(K29:L29),0)] {" &amp; ROUND(I29+SUM(K29:L29),0) &amp; "}.")," ")</f>
        <v xml:space="preserve">  </v>
      </c>
    </row>
    <row r="30" spans="1:13" ht="30" customHeight="1" x14ac:dyDescent="0.25">
      <c r="A30" s="2" t="s">
        <v>79</v>
      </c>
      <c r="B30" s="1" t="s">
        <v>576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3" t="str">
        <f>IFERROR(IF(C30=ROUND(D30+SUM(F30:G30),0)," "," Стр. 277, Гр. 1 [C30]  д.б. = [Окр(D30+Сум(F30:G30),0)] {" &amp; ROUND(D30+SUM(F30:G30),0) &amp; "}.")," ") &amp; IFERROR(IF(H30=ROUND(I30+SUM(K30:L30),0)," "," Стр. 277, Гр. 6 [H30]  д.б. = [Окр(I30+Сум(K30:L30),0)] {" &amp; ROUND(I30+SUM(K30:L30),0) &amp; "}.")," ")</f>
        <v xml:space="preserve">  </v>
      </c>
    </row>
    <row r="31" spans="1:13" ht="30" customHeight="1" x14ac:dyDescent="0.25">
      <c r="A31" s="2" t="s">
        <v>81</v>
      </c>
      <c r="B31" s="1" t="s">
        <v>577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3" t="str">
        <f>IFERROR(IF(C31=ROUND(D31+SUM(F31:G31),0)," "," Стр. 278, Гр. 1 [C31]  д.б. = [Окр(D31+Сум(F31:G31),0)] {" &amp; ROUND(D31+SUM(F31:G31),0) &amp; "}.")," ") &amp; IFERROR(IF(H31=ROUND(I31+SUM(K31:L31),0)," "," Стр. 278, Гр. 6 [H31]  д.б. = [Окр(I31+Сум(K31:L31),0)] {" &amp; ROUND(I31+SUM(K31:L31),0) &amp; "}.")," ")</f>
        <v xml:space="preserve">  </v>
      </c>
    </row>
    <row r="32" spans="1:13" ht="30" customHeight="1" x14ac:dyDescent="0.25">
      <c r="A32" s="2" t="s">
        <v>83</v>
      </c>
      <c r="B32" s="1" t="s">
        <v>578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3" t="str">
        <f>IFERROR(IF(C32=ROUND(D32+SUM(F32:G32),0)," "," Стр. 279, Гр. 1 [C32]  д.б. = [Окр(D32+Сум(F32:G32),0)] {" &amp; ROUND(D32+SUM(F32:G32),0) &amp; "}.")," ") &amp; IFERROR(IF(H32=ROUND(I32+SUM(K32:L32),0)," "," Стр. 279, Гр. 6 [H32]  д.б. = [Окр(I32+Сум(K32:L32),0)] {" &amp; ROUND(I32+SUM(K32:L32),0) &amp; "}.")," ")</f>
        <v xml:space="preserve">  </v>
      </c>
    </row>
    <row r="33" spans="1:13" ht="30" customHeight="1" x14ac:dyDescent="0.25">
      <c r="A33" s="2" t="s">
        <v>85</v>
      </c>
      <c r="B33" s="1" t="s">
        <v>579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3" t="str">
        <f>IFERROR(IF(C33=ROUND(D33+SUM(F33:G33),0)," "," Стр. 280, Гр. 1 [C33]  д.б. = [Окр(D33+Сум(F33:G33),0)] {" &amp; ROUND(D33+SUM(F33:G33),0) &amp; "}.")," ") &amp; IFERROR(IF(H33=ROUND(I33+SUM(K33:L33),0)," "," Стр. 280, Гр. 6 [H33]  д.б. = [Окр(I33+Сум(K33:L33),0)] {" &amp; ROUND(I33+SUM(K33:L33),0) &amp; "}.")," ")</f>
        <v xml:space="preserve">  </v>
      </c>
    </row>
    <row r="34" spans="1:13" ht="30" customHeight="1" x14ac:dyDescent="0.25">
      <c r="A34" s="2" t="s">
        <v>87</v>
      </c>
      <c r="B34" s="1" t="s">
        <v>580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3" t="str">
        <f>IFERROR(IF(C34=ROUND(D34+SUM(F34:G34),0)," "," Стр. 281, Гр. 1 [C34]  д.б. = [Окр(D34+Сум(F34:G34),0)] {" &amp; ROUND(D34+SUM(F34:G34),0) &amp; "}.")," ") &amp; IFERROR(IF(H34=ROUND(I34+SUM(K34:L34),0)," "," Стр. 281, Гр. 6 [H34]  д.б. = [Окр(I34+Сум(K34:L34),0)] {" &amp; ROUND(I34+SUM(K34:L34),0) &amp; "}.")," ")</f>
        <v xml:space="preserve">  </v>
      </c>
    </row>
    <row r="35" spans="1:13" ht="30" customHeight="1" x14ac:dyDescent="0.25">
      <c r="A35" s="2" t="s">
        <v>89</v>
      </c>
      <c r="B35" s="1" t="s">
        <v>581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3" t="str">
        <f>IFERROR(IF(C35=ROUND(D35+SUM(F35:G35),0)," "," Стр. 282, Гр. 1 [C35]  д.б. = [Окр(D35+Сум(F35:G35),0)] {" &amp; ROUND(D35+SUM(F35:G35),0) &amp; "}.")," ") &amp; IFERROR(IF(H35=ROUND(I35+SUM(K35:L35),0)," "," Стр. 282, Гр. 6 [H35]  д.б. = [Окр(I35+Сум(K35:L35),0)] {" &amp; ROUND(I35+SUM(K35:L35),0) &amp; "}.")," ")</f>
        <v xml:space="preserve">  </v>
      </c>
    </row>
    <row r="36" spans="1:13" ht="30" customHeight="1" x14ac:dyDescent="0.25">
      <c r="A36" s="2" t="s">
        <v>91</v>
      </c>
      <c r="B36" s="1" t="s">
        <v>582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3" t="str">
        <f>IFERROR(IF(C36=ROUND(D36+SUM(F36:G36),0)," "," Стр. 283, Гр. 1 [C36]  д.б. = [Окр(D36+Сум(F36:G36),0)] {" &amp; ROUND(D36+SUM(F36:G36),0) &amp; "}.")," ") &amp; IFERROR(IF(H36=ROUND(I36+SUM(K36:L36),0)," "," Стр. 283, Гр. 6 [H36]  д.б. = [Окр(I36+Сум(K36:L36),0)] {" &amp; ROUND(I36+SUM(K36:L36),0) &amp; "}.")," ")</f>
        <v xml:space="preserve">  </v>
      </c>
    </row>
    <row r="37" spans="1:13" ht="30" customHeight="1" x14ac:dyDescent="0.25">
      <c r="A37" s="2" t="s">
        <v>93</v>
      </c>
      <c r="B37" s="1" t="s">
        <v>583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3" t="str">
        <f>IFERROR(IF(C37=ROUND(D37+SUM(F37:G37),0)," "," Стр. 284, Гр. 1 [C37]  д.б. = [Окр(D37+Сум(F37:G37),0)] {" &amp; ROUND(D37+SUM(F37:G37),0) &amp; "}.")," ") &amp; IFERROR(IF(H37=ROUND(I37+SUM(K37:L37),0)," "," Стр. 284, Гр. 6 [H37]  д.б. = [Окр(I37+Сум(K37:L37),0)] {" &amp; ROUND(I37+SUM(K37:L37),0) &amp; "}.")," ")</f>
        <v xml:space="preserve">  </v>
      </c>
    </row>
    <row r="38" spans="1:13" ht="30" customHeight="1" x14ac:dyDescent="0.25">
      <c r="A38" s="2" t="s">
        <v>95</v>
      </c>
      <c r="B38" s="1" t="s">
        <v>584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3" t="str">
        <f>IFERROR(IF(C38=ROUND(D38+SUM(F38:G38),0)," "," Стр. 285, Гр. 1 [C38]  д.б. = [Окр(D38+Сум(F38:G38),0)] {" &amp; ROUND(D38+SUM(F38:G38),0) &amp; "}.")," ") &amp; IFERROR(IF(H38=ROUND(I38+SUM(K38:L38),0)," "," Стр. 285, Гр. 6 [H38]  д.б. = [Окр(I38+Сум(K38:L38),0)] {" &amp; ROUND(I38+SUM(K38:L38),0) &amp; "}.")," ")</f>
        <v xml:space="preserve">  </v>
      </c>
    </row>
    <row r="39" spans="1:13" ht="30" customHeight="1" x14ac:dyDescent="0.25">
      <c r="A39" s="2" t="s">
        <v>97</v>
      </c>
      <c r="B39" s="1" t="s">
        <v>585</v>
      </c>
      <c r="C39" s="7"/>
      <c r="D39" s="7"/>
      <c r="E39" s="7"/>
      <c r="F39" s="7"/>
      <c r="G39" s="7"/>
      <c r="H39" s="7"/>
      <c r="I39" s="7"/>
      <c r="J39" s="7"/>
      <c r="K39" s="7"/>
      <c r="L39" s="7"/>
      <c r="M39" s="3" t="str">
        <f>IFERROR(IF(C39=ROUND(D39+SUM(F39:G39),0)," "," Стр. 286, Гр. 1 [C39]  д.б. = [Окр(D39+Сум(F39:G39),0)] {" &amp; ROUND(D39+SUM(F39:G39),0) &amp; "}.")," ") &amp; IFERROR(IF(H39=ROUND(I39+SUM(K39:L39),0)," "," Стр. 286, Гр. 6 [H39]  д.б. = [Окр(I39+Сум(K39:L39),0)] {" &amp; ROUND(I39+SUM(K39:L39),0) &amp; "}.")," ")</f>
        <v xml:space="preserve">  </v>
      </c>
    </row>
    <row r="40" spans="1:13" ht="30" customHeight="1" x14ac:dyDescent="0.25">
      <c r="A40" s="2" t="s">
        <v>99</v>
      </c>
      <c r="B40" s="1" t="s">
        <v>586</v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3" t="str">
        <f>IFERROR(IF(C40=ROUND(D40+SUM(F40:G40),0)," "," Стр. 287, Гр. 1 [C40]  д.б. = [Окр(D40+Сум(F40:G40),0)] {" &amp; ROUND(D40+SUM(F40:G40),0) &amp; "}.")," ") &amp; IFERROR(IF(H40=ROUND(I40+SUM(K40:L40),0)," "," Стр. 287, Гр. 6 [H40]  д.б. = [Окр(I40+Сум(K40:L40),0)] {" &amp; ROUND(I40+SUM(K40:L40),0) &amp; "}.")," ")</f>
        <v xml:space="preserve">  </v>
      </c>
    </row>
    <row r="41" spans="1:13" ht="30" customHeight="1" x14ac:dyDescent="0.25">
      <c r="A41" s="2" t="s">
        <v>101</v>
      </c>
      <c r="B41" s="1" t="s">
        <v>587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3" t="str">
        <f>IFERROR(IF(C41=ROUND(D41+SUM(F41:G41),0)," "," Стр. 288, Гр. 1 [C41]  д.б. = [Окр(D41+Сум(F41:G41),0)] {" &amp; ROUND(D41+SUM(F41:G41),0) &amp; "}.")," ") &amp; IFERROR(IF(H41=ROUND(I41+SUM(K41:L41),0)," "," Стр. 288, Гр. 6 [H41]  д.б. = [Окр(I41+Сум(K41:L41),0)] {" &amp; ROUND(I41+SUM(K41:L41),0) &amp; "}.")," ")</f>
        <v xml:space="preserve">  </v>
      </c>
    </row>
    <row r="42" spans="1:13" ht="30" customHeight="1" x14ac:dyDescent="0.25">
      <c r="A42" s="2" t="s">
        <v>103</v>
      </c>
      <c r="B42" s="1" t="s">
        <v>588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3" t="str">
        <f>IFERROR(IF(C42=ROUND(D42+SUM(F42:G42),0)," "," Стр. 289, Гр. 1 [C42]  д.б. = [Окр(D42+Сум(F42:G42),0)] {" &amp; ROUND(D42+SUM(F42:G42),0) &amp; "}.")," ") &amp; IFERROR(IF(H42=ROUND(I42+SUM(K42:L42),0)," "," Стр. 289, Гр. 6 [H42]  д.б. = [Окр(I42+Сум(K42:L42),0)] {" &amp; ROUND(I42+SUM(K42:L42),0) &amp; "}.")," ")</f>
        <v xml:space="preserve">  </v>
      </c>
    </row>
    <row r="43" spans="1:13" ht="30" customHeight="1" x14ac:dyDescent="0.25">
      <c r="A43" s="2" t="s">
        <v>105</v>
      </c>
      <c r="B43" s="1" t="s">
        <v>589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3" t="str">
        <f>IFERROR(IF(C43=ROUND(D43+SUM(F43:G43),0)," "," Стр. 290, Гр. 1 [C43]  д.б. = [Окр(D43+Сум(F43:G43),0)] {" &amp; ROUND(D43+SUM(F43:G43),0) &amp; "}.")," ") &amp; IFERROR(IF(H43=ROUND(I43+SUM(K43:L43),0)," "," Стр. 290, Гр. 6 [H43]  д.б. = [Окр(I43+Сум(K43:L43),0)] {" &amp; ROUND(I43+SUM(K43:L43),0) &amp; "}.")," ")</f>
        <v xml:space="preserve">  </v>
      </c>
    </row>
    <row r="44" spans="1:13" ht="30" customHeight="1" x14ac:dyDescent="0.25">
      <c r="A44" s="2" t="s">
        <v>107</v>
      </c>
      <c r="B44" s="1" t="s">
        <v>590</v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3" t="str">
        <f>IFERROR(IF(C44=ROUND(D44+SUM(F44:G44),0)," "," Стр. 291, Гр. 1 [C44]  д.б. = [Окр(D44+Сум(F44:G44),0)] {" &amp; ROUND(D44+SUM(F44:G44),0) &amp; "}.")," ") &amp; IFERROR(IF(H44=ROUND(I44+SUM(K44:L44),0)," "," Стр. 291, Гр. 6 [H44]  д.б. = [Окр(I44+Сум(K44:L44),0)] {" &amp; ROUND(I44+SUM(K44:L44),0) &amp; "}.")," ")</f>
        <v xml:space="preserve">  </v>
      </c>
    </row>
    <row r="45" spans="1:13" ht="30" customHeight="1" x14ac:dyDescent="0.25">
      <c r="A45" s="2" t="s">
        <v>109</v>
      </c>
      <c r="B45" s="1" t="s">
        <v>591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3" t="str">
        <f>IFERROR(IF(C45=ROUND(D45+SUM(F45:G45),0)," "," Стр. 292, Гр. 1 [C45]  д.б. = [Окр(D45+Сум(F45:G45),0)] {" &amp; ROUND(D45+SUM(F45:G45),0) &amp; "}.")," ") &amp; IFERROR(IF(H45=ROUND(I45+SUM(K45:L45),0)," "," Стр. 292, Гр. 6 [H45]  д.б. = [Окр(I45+Сум(K45:L45),0)] {" &amp; ROUND(I45+SUM(K45:L45),0) &amp; "}.")," ")</f>
        <v xml:space="preserve">  </v>
      </c>
    </row>
    <row r="46" spans="1:13" ht="30" customHeight="1" x14ac:dyDescent="0.25">
      <c r="A46" s="2" t="s">
        <v>111</v>
      </c>
      <c r="B46" s="1" t="s">
        <v>592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3" t="str">
        <f>IFERROR(IF(C46=ROUND(D46+SUM(F46:G46),0)," "," Стр. 293, Гр. 1 [C46]  д.б. = [Окр(D46+Сум(F46:G46),0)] {" &amp; ROUND(D46+SUM(F46:G46),0) &amp; "}.")," ") &amp; IFERROR(IF(H46=ROUND(I46+SUM(K46:L46),0)," "," Стр. 293, Гр. 6 [H46]  д.б. = [Окр(I46+Сум(K46:L46),0)] {" &amp; ROUND(I46+SUM(K46:L46),0) &amp; "}.")," ")</f>
        <v xml:space="preserve">  </v>
      </c>
    </row>
    <row r="47" spans="1:13" ht="30" customHeight="1" x14ac:dyDescent="0.25">
      <c r="A47" s="2" t="s">
        <v>113</v>
      </c>
      <c r="B47" s="1" t="s">
        <v>593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3" t="str">
        <f>IFERROR(IF(C47=ROUND(D47+SUM(F47:G47),0)," "," Стр. 294, Гр. 1 [C47]  д.б. = [Окр(D47+Сум(F47:G47),0)] {" &amp; ROUND(D47+SUM(F47:G47),0) &amp; "}.")," ") &amp; IFERROR(IF(H47=ROUND(I47+SUM(K47:L47),0)," "," Стр. 294, Гр. 6 [H47]  д.б. = [Окр(I47+Сум(K47:L47),0)] {" &amp; ROUND(I47+SUM(K47:L47),0) &amp; "}.")," ")</f>
        <v xml:space="preserve">  </v>
      </c>
    </row>
    <row r="48" spans="1:13" ht="30" customHeight="1" x14ac:dyDescent="0.25">
      <c r="A48" s="2" t="s">
        <v>115</v>
      </c>
      <c r="B48" s="1" t="s">
        <v>594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3" t="str">
        <f>IFERROR(IF(C48=ROUND(D48+SUM(F48:G48),0)," "," Стр. 295, Гр. 1 [C48]  д.б. = [Окр(D48+Сум(F48:G48),0)] {" &amp; ROUND(D48+SUM(F48:G48),0) &amp; "}.")," ") &amp; IFERROR(IF(H48=ROUND(I48+SUM(K48:L48),0)," "," Стр. 295, Гр. 6 [H48]  д.б. = [Окр(I48+Сум(K48:L48),0)] {" &amp; ROUND(I48+SUM(K48:L48),0) &amp; "}.")," ")</f>
        <v xml:space="preserve">  </v>
      </c>
    </row>
    <row r="49" spans="1:13" ht="30" customHeight="1" x14ac:dyDescent="0.25">
      <c r="A49" s="2" t="s">
        <v>117</v>
      </c>
      <c r="B49" s="1" t="s">
        <v>595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3" t="str">
        <f>IFERROR(IF(C49=ROUND(D49+SUM(F49:G49),0)," "," Стр. 296, Гр. 1 [C49]  д.б. = [Окр(D49+Сум(F49:G49),0)] {" &amp; ROUND(D49+SUM(F49:G49),0) &amp; "}.")," ") &amp; IFERROR(IF(H49=ROUND(I49+SUM(K49:L49),0)," "," Стр. 296, Гр. 6 [H49]  д.б. = [Окр(I49+Сум(K49:L49),0)] {" &amp; ROUND(I49+SUM(K49:L49),0) &amp; "}.")," ")</f>
        <v xml:space="preserve">  </v>
      </c>
    </row>
    <row r="50" spans="1:13" ht="30" customHeight="1" x14ac:dyDescent="0.25">
      <c r="A50" s="2" t="s">
        <v>119</v>
      </c>
      <c r="B50" s="1" t="s">
        <v>596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3" t="str">
        <f>IFERROR(IF(C50=ROUND(D50+SUM(F50:G50),0)," "," Стр. 297, Гр. 1 [C50]  д.б. = [Окр(D50+Сум(F50:G50),0)] {" &amp; ROUND(D50+SUM(F50:G50),0) &amp; "}.")," ") &amp; IFERROR(IF(H50=ROUND(I50+SUM(K50:L50),0)," "," Стр. 297, Гр. 6 [H50]  д.б. = [Окр(I50+Сум(K50:L50),0)] {" &amp; ROUND(I50+SUM(K50:L50),0) &amp; "}.")," ")</f>
        <v xml:space="preserve">  </v>
      </c>
    </row>
    <row r="51" spans="1:13" ht="30" customHeight="1" x14ac:dyDescent="0.25">
      <c r="A51" s="2" t="s">
        <v>121</v>
      </c>
      <c r="B51" s="1" t="s">
        <v>597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3" t="str">
        <f>IFERROR(IF(C51=ROUND(D51+SUM(F51:G51),0)," "," Стр. 298, Гр. 1 [C51]  д.б. = [Окр(D51+Сум(F51:G51),0)] {" &amp; ROUND(D51+SUM(F51:G51),0) &amp; "}.")," ") &amp; IFERROR(IF(H51=ROUND(I51+SUM(K51:L51),0)," "," Стр. 298, Гр. 6 [H51]  д.б. = [Окр(I51+Сум(K51:L51),0)] {" &amp; ROUND(I51+SUM(K51:L51),0) &amp; "}.")," ")</f>
        <v xml:space="preserve">  </v>
      </c>
    </row>
    <row r="52" spans="1:13" ht="30" customHeight="1" x14ac:dyDescent="0.25">
      <c r="A52" s="2" t="s">
        <v>123</v>
      </c>
      <c r="B52" s="1" t="s">
        <v>598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3" t="str">
        <f>IFERROR(IF(C52=ROUND(D52+SUM(F52:G52),0)," "," Стр. 299, Гр. 1 [C52]  д.б. = [Окр(D52+Сум(F52:G52),0)] {" &amp; ROUND(D52+SUM(F52:G52),0) &amp; "}.")," ") &amp; IFERROR(IF(H52=ROUND(I52+SUM(K52:L52),0)," "," Стр. 299, Гр. 6 [H52]  д.б. = [Окр(I52+Сум(K52:L52),0)] {" &amp; ROUND(I52+SUM(K52:L52),0) &amp; "}.")," ")</f>
        <v xml:space="preserve">  </v>
      </c>
    </row>
    <row r="53" spans="1:13" ht="30" customHeight="1" x14ac:dyDescent="0.25">
      <c r="A53" s="2" t="s">
        <v>125</v>
      </c>
      <c r="B53" s="1" t="s">
        <v>599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3" t="str">
        <f>IFERROR(IF(C53=ROUND(D53+SUM(F53:G53),0)," "," Стр. 300, Гр. 1 [C53]  д.б. = [Окр(D53+Сум(F53:G53),0)] {" &amp; ROUND(D53+SUM(F53:G53),0) &amp; "}.")," ") &amp; IFERROR(IF(H53=ROUND(I53+SUM(K53:L53),0)," "," Стр. 300, Гр. 6 [H53]  д.б. = [Окр(I53+Сум(K53:L53),0)] {" &amp; ROUND(I53+SUM(K53:L53),0) &amp; "}.")," ")</f>
        <v xml:space="preserve">  </v>
      </c>
    </row>
    <row r="54" spans="1:13" ht="30" customHeight="1" x14ac:dyDescent="0.25">
      <c r="A54" s="2" t="s">
        <v>127</v>
      </c>
      <c r="B54" s="1" t="s">
        <v>600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3" t="str">
        <f>IFERROR(IF(C54=ROUND(D54+SUM(F54:G54),0)," "," Стр. 301, Гр. 1 [C54]  д.б. = [Окр(D54+Сум(F54:G54),0)] {" &amp; ROUND(D54+SUM(F54:G54),0) &amp; "}.")," ") &amp; IFERROR(IF(H54=ROUND(I54+SUM(K54:L54),0)," "," Стр. 301, Гр. 6 [H54]  д.б. = [Окр(I54+Сум(K54:L54),0)] {" &amp; ROUND(I54+SUM(K54:L54),0) &amp; "}.")," ")</f>
        <v xml:space="preserve">  </v>
      </c>
    </row>
    <row r="55" spans="1:13" ht="30" customHeight="1" x14ac:dyDescent="0.25">
      <c r="A55" s="2" t="s">
        <v>129</v>
      </c>
      <c r="B55" s="1" t="s">
        <v>601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3" t="str">
        <f>IFERROR(IF(C55=ROUND(D55+SUM(F55:G55),0)," "," Стр. 302, Гр. 1 [C55]  д.б. = [Окр(D55+Сум(F55:G55),0)] {" &amp; ROUND(D55+SUM(F55:G55),0) &amp; "}.")," ") &amp; IFERROR(IF(H55=ROUND(I55+SUM(K55:L55),0)," "," Стр. 302, Гр. 6 [H55]  д.б. = [Окр(I55+Сум(K55:L55),0)] {" &amp; ROUND(I55+SUM(K55:L55),0) &amp; "}.")," ")</f>
        <v xml:space="preserve">  </v>
      </c>
    </row>
    <row r="56" spans="1:13" ht="30" customHeight="1" x14ac:dyDescent="0.25">
      <c r="A56" s="2" t="s">
        <v>131</v>
      </c>
      <c r="B56" s="1" t="s">
        <v>602</v>
      </c>
      <c r="C56" s="7"/>
      <c r="D56" s="7"/>
      <c r="E56" s="7"/>
      <c r="F56" s="7"/>
      <c r="G56" s="7"/>
      <c r="H56" s="7"/>
      <c r="I56" s="7"/>
      <c r="J56" s="7"/>
      <c r="K56" s="7"/>
      <c r="L56" s="7"/>
      <c r="M56" s="3" t="str">
        <f>IFERROR(IF(C56=ROUND(D56+SUM(F56:G56),0)," "," Стр. 303, Гр. 1 [C56]  д.б. = [Окр(D56+Сум(F56:G56),0)] {" &amp; ROUND(D56+SUM(F56:G56),0) &amp; "}.")," ") &amp; IFERROR(IF(H56=ROUND(I56+SUM(K56:L56),0)," "," Стр. 303, Гр. 6 [H56]  д.б. = [Окр(I56+Сум(K56:L56),0)] {" &amp; ROUND(I56+SUM(K56:L56),0) &amp; "}.")," ")</f>
        <v xml:space="preserve">  </v>
      </c>
    </row>
    <row r="57" spans="1:13" ht="30" customHeight="1" x14ac:dyDescent="0.25">
      <c r="A57" s="2" t="s">
        <v>133</v>
      </c>
      <c r="B57" s="1" t="s">
        <v>603</v>
      </c>
      <c r="C57" s="7"/>
      <c r="D57" s="7"/>
      <c r="E57" s="7"/>
      <c r="F57" s="7"/>
      <c r="G57" s="7"/>
      <c r="H57" s="7"/>
      <c r="I57" s="7"/>
      <c r="J57" s="7"/>
      <c r="K57" s="7"/>
      <c r="L57" s="7"/>
      <c r="M57" s="3" t="str">
        <f>IFERROR(IF(C57=ROUND(D57+SUM(F57:G57),0)," "," Стр. 304, Гр. 1 [C57]  д.б. = [Окр(D57+Сум(F57:G57),0)] {" &amp; ROUND(D57+SUM(F57:G57),0) &amp; "}.")," ") &amp; IFERROR(IF(H57=ROUND(I57+SUM(K57:L57),0)," "," Стр. 304, Гр. 6 [H57]  д.б. = [Окр(I57+Сум(K57:L57),0)] {" &amp; ROUND(I57+SUM(K57:L57),0) &amp; "}.")," ")</f>
        <v xml:space="preserve">  </v>
      </c>
    </row>
    <row r="58" spans="1:13" ht="30" customHeight="1" x14ac:dyDescent="0.25">
      <c r="A58" s="2" t="s">
        <v>135</v>
      </c>
      <c r="B58" s="1" t="s">
        <v>604</v>
      </c>
      <c r="C58" s="7"/>
      <c r="D58" s="7"/>
      <c r="E58" s="7"/>
      <c r="F58" s="7"/>
      <c r="G58" s="7"/>
      <c r="H58" s="7"/>
      <c r="I58" s="7"/>
      <c r="J58" s="7"/>
      <c r="K58" s="7"/>
      <c r="L58" s="7"/>
      <c r="M58" s="3" t="str">
        <f>IFERROR(IF(C58=ROUND(D58+SUM(F58:G58),0)," "," Стр. 305, Гр. 1 [C58]  д.б. = [Окр(D58+Сум(F58:G58),0)] {" &amp; ROUND(D58+SUM(F58:G58),0) &amp; "}.")," ") &amp; IFERROR(IF(H58=ROUND(I58+SUM(K58:L58),0)," "," Стр. 305, Гр. 6 [H58]  д.б. = [Окр(I58+Сум(K58:L58),0)] {" &amp; ROUND(I58+SUM(K58:L58),0) &amp; "}.")," ")</f>
        <v xml:space="preserve">  </v>
      </c>
    </row>
    <row r="59" spans="1:13" ht="30" customHeight="1" x14ac:dyDescent="0.25">
      <c r="A59" s="2" t="s">
        <v>137</v>
      </c>
      <c r="B59" s="1" t="s">
        <v>605</v>
      </c>
      <c r="C59" s="7"/>
      <c r="D59" s="7"/>
      <c r="E59" s="7"/>
      <c r="F59" s="7"/>
      <c r="G59" s="7"/>
      <c r="H59" s="7"/>
      <c r="I59" s="7"/>
      <c r="J59" s="7"/>
      <c r="K59" s="7"/>
      <c r="L59" s="7"/>
      <c r="M59" s="3" t="str">
        <f>IFERROR(IF(C59=ROUND(D59+SUM(F59:G59),0)," "," Стр. 306, Гр. 1 [C59]  д.б. = [Окр(D59+Сум(F59:G59),0)] {" &amp; ROUND(D59+SUM(F59:G59),0) &amp; "}.")," ") &amp; IFERROR(IF(H59=ROUND(I59+SUM(K59:L59),0)," "," Стр. 306, Гр. 6 [H59]  д.б. = [Окр(I59+Сум(K59:L59),0)] {" &amp; ROUND(I59+SUM(K59:L59),0) &amp; "}.")," ")</f>
        <v xml:space="preserve">  </v>
      </c>
    </row>
    <row r="60" spans="1:13" ht="30" customHeight="1" x14ac:dyDescent="0.25">
      <c r="A60" s="2" t="s">
        <v>139</v>
      </c>
      <c r="B60" s="1" t="s">
        <v>606</v>
      </c>
      <c r="C60" s="7"/>
      <c r="D60" s="7"/>
      <c r="E60" s="7"/>
      <c r="F60" s="7"/>
      <c r="G60" s="7"/>
      <c r="H60" s="7"/>
      <c r="I60" s="7"/>
      <c r="J60" s="7"/>
      <c r="K60" s="7"/>
      <c r="L60" s="7"/>
      <c r="M60" s="3" t="str">
        <f>IFERROR(IF(C60=ROUND(D60+SUM(F60:G60),0)," "," Стр. 307, Гр. 1 [C60]  д.б. = [Окр(D60+Сум(F60:G60),0)] {" &amp; ROUND(D60+SUM(F60:G60),0) &amp; "}.")," ") &amp; IFERROR(IF(H60=ROUND(I60+SUM(K60:L60),0)," "," Стр. 307, Гр. 6 [H60]  д.б. = [Окр(I60+Сум(K60:L60),0)] {" &amp; ROUND(I60+SUM(K60:L60),0) &amp; "}.")," ")</f>
        <v xml:space="preserve">  </v>
      </c>
    </row>
    <row r="61" spans="1:13" ht="30" customHeight="1" x14ac:dyDescent="0.25">
      <c r="A61" s="2" t="s">
        <v>141</v>
      </c>
      <c r="B61" s="1" t="s">
        <v>607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3" t="str">
        <f>IFERROR(IF(C61=ROUND(D61+SUM(F61:G61),0)," "," Стр. 308, Гр. 1 [C61]  д.б. = [Окр(D61+Сум(F61:G61),0)] {" &amp; ROUND(D61+SUM(F61:G61),0) &amp; "}.")," ") &amp; IFERROR(IF(H61=ROUND(I61+SUM(K61:L61),0)," "," Стр. 308, Гр. 6 [H61]  д.б. = [Окр(I61+Сум(K61:L61),0)] {" &amp; ROUND(I61+SUM(K61:L61),0) &amp; "}.")," ")</f>
        <v xml:space="preserve">  </v>
      </c>
    </row>
    <row r="62" spans="1:13" ht="30" customHeight="1" x14ac:dyDescent="0.25">
      <c r="A62" s="2" t="s">
        <v>143</v>
      </c>
      <c r="B62" s="1" t="s">
        <v>608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3" t="str">
        <f>IFERROR(IF(C62=ROUND(D62+SUM(F62:G62),0)," "," Стр. 309, Гр. 1 [C62]  д.б. = [Окр(D62+Сум(F62:G62),0)] {" &amp; ROUND(D62+SUM(F62:G62),0) &amp; "}.")," ") &amp; IFERROR(IF(H62=ROUND(I62+SUM(K62:L62),0)," "," Стр. 309, Гр. 6 [H62]  д.б. = [Окр(I62+Сум(K62:L62),0)] {" &amp; ROUND(I62+SUM(K62:L62),0) &amp; "}.")," ")</f>
        <v xml:space="preserve">  </v>
      </c>
    </row>
    <row r="63" spans="1:13" ht="30" customHeight="1" x14ac:dyDescent="0.25">
      <c r="A63" s="2" t="s">
        <v>145</v>
      </c>
      <c r="B63" s="1" t="s">
        <v>609</v>
      </c>
      <c r="C63" s="7"/>
      <c r="D63" s="7"/>
      <c r="E63" s="7"/>
      <c r="F63" s="7"/>
      <c r="G63" s="7"/>
      <c r="H63" s="7"/>
      <c r="I63" s="7"/>
      <c r="J63" s="7"/>
      <c r="K63" s="7"/>
      <c r="L63" s="7"/>
      <c r="M63" s="3" t="str">
        <f>IFERROR(IF(C63=ROUND(D63+SUM(F63:G63),0)," "," Стр. 310, Гр. 1 [C63]  д.б. = [Окр(D63+Сум(F63:G63),0)] {" &amp; ROUND(D63+SUM(F63:G63),0) &amp; "}.")," ") &amp; IFERROR(IF(H63=ROUND(I63+SUM(K63:L63),0)," "," Стр. 310, Гр. 6 [H63]  д.б. = [Окр(I63+Сум(K63:L63),0)] {" &amp; ROUND(I63+SUM(K63:L63),0) &amp; "}.")," ")</f>
        <v xml:space="preserve">  </v>
      </c>
    </row>
    <row r="64" spans="1:13" ht="30" customHeight="1" x14ac:dyDescent="0.25">
      <c r="A64" s="2" t="s">
        <v>147</v>
      </c>
      <c r="B64" s="1" t="s">
        <v>610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3" t="str">
        <f>IFERROR(IF(C64=ROUND(D64+SUM(F64:G64),0)," "," Стр. 311, Гр. 1 [C64]  д.б. = [Окр(D64+Сум(F64:G64),0)] {" &amp; ROUND(D64+SUM(F64:G64),0) &amp; "}.")," ") &amp; IFERROR(IF(H64=ROUND(I64+SUM(K64:L64),0)," "," Стр. 311, Гр. 6 [H64]  д.б. = [Окр(I64+Сум(K64:L64),0)] {" &amp; ROUND(I64+SUM(K64:L64),0) &amp; "}.")," ")</f>
        <v xml:space="preserve">  </v>
      </c>
    </row>
    <row r="65" spans="1:13" ht="30" customHeight="1" x14ac:dyDescent="0.25">
      <c r="A65" s="2" t="s">
        <v>149</v>
      </c>
      <c r="B65" s="1" t="s">
        <v>611</v>
      </c>
      <c r="C65" s="7"/>
      <c r="D65" s="7"/>
      <c r="E65" s="7"/>
      <c r="F65" s="7"/>
      <c r="G65" s="7"/>
      <c r="H65" s="7"/>
      <c r="I65" s="7"/>
      <c r="J65" s="7"/>
      <c r="K65" s="7"/>
      <c r="L65" s="7"/>
      <c r="M65" s="3" t="str">
        <f>IFERROR(IF(C65=ROUND(D65+SUM(F65:G65),0)," "," Стр. 312, Гр. 1 [C65]  д.б. = [Окр(D65+Сум(F65:G65),0)] {" &amp; ROUND(D65+SUM(F65:G65),0) &amp; "}.")," ") &amp; IFERROR(IF(H65=ROUND(I65+SUM(K65:L65),0)," "," Стр. 312, Гр. 6 [H65]  д.б. = [Окр(I65+Сум(K65:L65),0)] {" &amp; ROUND(I65+SUM(K65:L65),0) &amp; "}.")," ")</f>
        <v xml:space="preserve">  </v>
      </c>
    </row>
    <row r="66" spans="1:13" ht="30" customHeight="1" x14ac:dyDescent="0.25">
      <c r="A66" s="2" t="s">
        <v>151</v>
      </c>
      <c r="B66" s="1" t="s">
        <v>612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3" t="str">
        <f>IFERROR(IF(C66=ROUND(D66+SUM(F66:G66),0)," "," Стр. 313, Гр. 1 [C66]  д.б. = [Окр(D66+Сум(F66:G66),0)] {" &amp; ROUND(D66+SUM(F66:G66),0) &amp; "}.")," ") &amp; IFERROR(IF(H66=ROUND(I66+SUM(K66:L66),0)," "," Стр. 313, Гр. 6 [H66]  д.б. = [Окр(I66+Сум(K66:L66),0)] {" &amp; ROUND(I66+SUM(K66:L66),0) &amp; "}.")," ")</f>
        <v xml:space="preserve">  </v>
      </c>
    </row>
    <row r="67" spans="1:13" ht="30" customHeight="1" x14ac:dyDescent="0.25">
      <c r="A67" s="2" t="s">
        <v>153</v>
      </c>
      <c r="B67" s="1" t="s">
        <v>613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3" t="str">
        <f>IFERROR(IF(C67=ROUND(D67+SUM(F67:G67),0)," "," Стр. 314, Гр. 1 [C67]  д.б. = [Окр(D67+Сум(F67:G67),0)] {" &amp; ROUND(D67+SUM(F67:G67),0) &amp; "}.")," ") &amp; IFERROR(IF(H67=ROUND(I67+SUM(K67:L67),0)," "," Стр. 314, Гр. 6 [H67]  д.б. = [Окр(I67+Сум(K67:L67),0)] {" &amp; ROUND(I67+SUM(K67:L67),0) &amp; "}.")," ")</f>
        <v xml:space="preserve">  </v>
      </c>
    </row>
    <row r="68" spans="1:13" ht="30" customHeight="1" x14ac:dyDescent="0.25">
      <c r="A68" s="2" t="s">
        <v>155</v>
      </c>
      <c r="B68" s="1" t="s">
        <v>614</v>
      </c>
      <c r="C68" s="7"/>
      <c r="D68" s="7"/>
      <c r="E68" s="7"/>
      <c r="F68" s="7"/>
      <c r="G68" s="7"/>
      <c r="H68" s="7"/>
      <c r="I68" s="7"/>
      <c r="J68" s="7"/>
      <c r="K68" s="7"/>
      <c r="L68" s="7"/>
      <c r="M68" s="3" t="str">
        <f>IFERROR(IF(C68=ROUND(D68+SUM(F68:G68),0)," "," Стр. 315, Гр. 1 [C68]  д.б. = [Окр(D68+Сум(F68:G68),0)] {" &amp; ROUND(D68+SUM(F68:G68),0) &amp; "}.")," ") &amp; IFERROR(IF(H68=ROUND(I68+SUM(K68:L68),0)," "," Стр. 315, Гр. 6 [H68]  д.б. = [Окр(I68+Сум(K68:L68),0)] {" &amp; ROUND(I68+SUM(K68:L68),0) &amp; "}.")," ")</f>
        <v xml:space="preserve">  </v>
      </c>
    </row>
    <row r="69" spans="1:13" ht="30" customHeight="1" x14ac:dyDescent="0.25">
      <c r="A69" s="2" t="s">
        <v>157</v>
      </c>
      <c r="B69" s="1" t="s">
        <v>615</v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3" t="str">
        <f>IFERROR(IF(C69=ROUND(D69+SUM(F69:G69),0)," "," Стр. 316, Гр. 1 [C69]  д.б. = [Окр(D69+Сум(F69:G69),0)] {" &amp; ROUND(D69+SUM(F69:G69),0) &amp; "}.")," ") &amp; IFERROR(IF(H69=ROUND(I69+SUM(K69:L69),0)," "," Стр. 316, Гр. 6 [H69]  д.б. = [Окр(I69+Сум(K69:L69),0)] {" &amp; ROUND(I69+SUM(K69:L69),0) &amp; "}.")," ")</f>
        <v xml:space="preserve">  </v>
      </c>
    </row>
    <row r="70" spans="1:13" ht="30" customHeight="1" x14ac:dyDescent="0.25">
      <c r="A70" s="2" t="s">
        <v>159</v>
      </c>
      <c r="B70" s="1" t="s">
        <v>616</v>
      </c>
      <c r="C70" s="7"/>
      <c r="D70" s="7"/>
      <c r="E70" s="7"/>
      <c r="F70" s="7"/>
      <c r="G70" s="7"/>
      <c r="H70" s="7"/>
      <c r="I70" s="7"/>
      <c r="J70" s="7"/>
      <c r="K70" s="7"/>
      <c r="L70" s="7"/>
      <c r="M70" s="3" t="str">
        <f>IFERROR(IF(C70=ROUND(D70+SUM(F70:G70),0)," "," Стр. 317, Гр. 1 [C70]  д.б. = [Окр(D70+Сум(F70:G70),0)] {" &amp; ROUND(D70+SUM(F70:G70),0) &amp; "}.")," ") &amp; IFERROR(IF(H70=ROUND(I70+SUM(K70:L70),0)," "," Стр. 317, Гр. 6 [H70]  д.б. = [Окр(I70+Сум(K70:L70),0)] {" &amp; ROUND(I70+SUM(K70:L70),0) &amp; "}.")," ")</f>
        <v xml:space="preserve">  </v>
      </c>
    </row>
    <row r="71" spans="1:13" ht="30" customHeight="1" x14ac:dyDescent="0.25">
      <c r="A71" s="2" t="s">
        <v>161</v>
      </c>
      <c r="B71" s="1" t="s">
        <v>617</v>
      </c>
      <c r="C71" s="7"/>
      <c r="D71" s="7"/>
      <c r="E71" s="7"/>
      <c r="F71" s="7"/>
      <c r="G71" s="7"/>
      <c r="H71" s="7"/>
      <c r="I71" s="7"/>
      <c r="J71" s="7"/>
      <c r="K71" s="7"/>
      <c r="L71" s="7"/>
      <c r="M71" s="3" t="str">
        <f>IFERROR(IF(C71=ROUND(D71+SUM(F71:G71),0)," "," Стр. 318, Гр. 1 [C71]  д.б. = [Окр(D71+Сум(F71:G71),0)] {" &amp; ROUND(D71+SUM(F71:G71),0) &amp; "}.")," ") &amp; IFERROR(IF(H71=ROUND(I71+SUM(K71:L71),0)," "," Стр. 318, Гр. 6 [H71]  д.б. = [Окр(I71+Сум(K71:L71),0)] {" &amp; ROUND(I71+SUM(K71:L71),0) &amp; "}.")," ")</f>
        <v xml:space="preserve">  </v>
      </c>
    </row>
    <row r="72" spans="1:13" ht="30" customHeight="1" x14ac:dyDescent="0.25">
      <c r="A72" s="2" t="s">
        <v>163</v>
      </c>
      <c r="B72" s="1" t="s">
        <v>618</v>
      </c>
      <c r="C72" s="7"/>
      <c r="D72" s="7"/>
      <c r="E72" s="7"/>
      <c r="F72" s="7"/>
      <c r="G72" s="7"/>
      <c r="H72" s="7"/>
      <c r="I72" s="7"/>
      <c r="J72" s="7"/>
      <c r="K72" s="7"/>
      <c r="L72" s="7"/>
      <c r="M72" s="3" t="str">
        <f>IFERROR(IF(C72=ROUND(D72+SUM(F72:G72),0)," "," Стр. 319, Гр. 1 [C72]  д.б. = [Окр(D72+Сум(F72:G72),0)] {" &amp; ROUND(D72+SUM(F72:G72),0) &amp; "}.")," ") &amp; IFERROR(IF(H72=ROUND(I72+SUM(K72:L72),0)," "," Стр. 319, Гр. 6 [H72]  д.б. = [Окр(I72+Сум(K72:L72),0)] {" &amp; ROUND(I72+SUM(K72:L72),0) &amp; "}.")," ")</f>
        <v xml:space="preserve">  </v>
      </c>
    </row>
    <row r="73" spans="1:13" ht="30" customHeight="1" x14ac:dyDescent="0.25">
      <c r="A73" s="2" t="s">
        <v>165</v>
      </c>
      <c r="B73" s="1" t="s">
        <v>619</v>
      </c>
      <c r="C73" s="7"/>
      <c r="D73" s="7"/>
      <c r="E73" s="7"/>
      <c r="F73" s="7"/>
      <c r="G73" s="7"/>
      <c r="H73" s="7"/>
      <c r="I73" s="7"/>
      <c r="J73" s="7"/>
      <c r="K73" s="7"/>
      <c r="L73" s="7"/>
      <c r="M73" s="3" t="str">
        <f>IFERROR(IF(C73=ROUND(D73+SUM(F73:G73),0)," "," Стр. 320, Гр. 1 [C73]  д.б. = [Окр(D73+Сум(F73:G73),0)] {" &amp; ROUND(D73+SUM(F73:G73),0) &amp; "}.")," ") &amp; IFERROR(IF(H73=ROUND(I73+SUM(K73:L73),0)," "," Стр. 320, Гр. 6 [H73]  д.б. = [Окр(I73+Сум(K73:L73),0)] {" &amp; ROUND(I73+SUM(K73:L73),0) &amp; "}.")," ")</f>
        <v xml:space="preserve">  </v>
      </c>
    </row>
    <row r="74" spans="1:13" ht="30" customHeight="1" x14ac:dyDescent="0.25">
      <c r="A74" s="2" t="s">
        <v>167</v>
      </c>
      <c r="B74" s="1" t="s">
        <v>620</v>
      </c>
      <c r="C74" s="7"/>
      <c r="D74" s="7"/>
      <c r="E74" s="7"/>
      <c r="F74" s="7"/>
      <c r="G74" s="7"/>
      <c r="H74" s="7"/>
      <c r="I74" s="7"/>
      <c r="J74" s="7"/>
      <c r="K74" s="7"/>
      <c r="L74" s="7"/>
      <c r="M74" s="3" t="str">
        <f>IFERROR(IF(C74=ROUND(D74+SUM(F74:G74),0)," "," Стр. 321, Гр. 1 [C74]  д.б. = [Окр(D74+Сум(F74:G74),0)] {" &amp; ROUND(D74+SUM(F74:G74),0) &amp; "}.")," ") &amp; IFERROR(IF(H74=ROUND(I74+SUM(K74:L74),0)," "," Стр. 321, Гр. 6 [H74]  д.б. = [Окр(I74+Сум(K74:L74),0)] {" &amp; ROUND(I74+SUM(K74:L74),0) &amp; "}.")," ")</f>
        <v xml:space="preserve">  </v>
      </c>
    </row>
    <row r="75" spans="1:13" ht="30" customHeight="1" x14ac:dyDescent="0.25">
      <c r="A75" s="2" t="s">
        <v>169</v>
      </c>
      <c r="B75" s="1" t="s">
        <v>621</v>
      </c>
      <c r="C75" s="7"/>
      <c r="D75" s="7"/>
      <c r="E75" s="7"/>
      <c r="F75" s="7"/>
      <c r="G75" s="7"/>
      <c r="H75" s="7"/>
      <c r="I75" s="7"/>
      <c r="J75" s="7"/>
      <c r="K75" s="7"/>
      <c r="L75" s="7"/>
      <c r="M75" s="3" t="str">
        <f>IFERROR(IF(C75=ROUND(D75+SUM(F75:G75),0)," "," Стр. 322, Гр. 1 [C75]  д.б. = [Окр(D75+Сум(F75:G75),0)] {" &amp; ROUND(D75+SUM(F75:G75),0) &amp; "}.")," ") &amp; IFERROR(IF(H75=ROUND(I75+SUM(K75:L75),0)," "," Стр. 322, Гр. 6 [H75]  д.б. = [Окр(I75+Сум(K75:L75),0)] {" &amp; ROUND(I75+SUM(K75:L75),0) &amp; "}.")," ")</f>
        <v xml:space="preserve">  </v>
      </c>
    </row>
    <row r="76" spans="1:13" ht="30" customHeight="1" x14ac:dyDescent="0.25">
      <c r="A76" s="2" t="s">
        <v>171</v>
      </c>
      <c r="B76" s="1" t="s">
        <v>622</v>
      </c>
      <c r="C76" s="7"/>
      <c r="D76" s="7"/>
      <c r="E76" s="7"/>
      <c r="F76" s="7"/>
      <c r="G76" s="7"/>
      <c r="H76" s="7"/>
      <c r="I76" s="7"/>
      <c r="J76" s="7"/>
      <c r="K76" s="7"/>
      <c r="L76" s="7"/>
      <c r="M76" s="3" t="str">
        <f>IFERROR(IF(C76=ROUND(D76+SUM(F76:G76),0)," "," Стр. 323, Гр. 1 [C76]  д.б. = [Окр(D76+Сум(F76:G76),0)] {" &amp; ROUND(D76+SUM(F76:G76),0) &amp; "}.")," ") &amp; IFERROR(IF(H76=ROUND(I76+SUM(K76:L76),0)," "," Стр. 323, Гр. 6 [H76]  д.б. = [Окр(I76+Сум(K76:L76),0)] {" &amp; ROUND(I76+SUM(K76:L76),0) &amp; "}.")," ")</f>
        <v xml:space="preserve">  </v>
      </c>
    </row>
    <row r="77" spans="1:13" ht="30" customHeight="1" x14ac:dyDescent="0.25">
      <c r="A77" s="2" t="s">
        <v>173</v>
      </c>
      <c r="B77" s="1" t="s">
        <v>623</v>
      </c>
      <c r="C77" s="7"/>
      <c r="D77" s="7"/>
      <c r="E77" s="7"/>
      <c r="F77" s="7"/>
      <c r="G77" s="7"/>
      <c r="H77" s="7"/>
      <c r="I77" s="7"/>
      <c r="J77" s="7"/>
      <c r="K77" s="7"/>
      <c r="L77" s="7"/>
      <c r="M77" s="3" t="str">
        <f>IFERROR(IF(C77=ROUND(D77+SUM(F77:G77),0)," "," Стр. 324, Гр. 1 [C77]  д.б. = [Окр(D77+Сум(F77:G77),0)] {" &amp; ROUND(D77+SUM(F77:G77),0) &amp; "}.")," ") &amp; IFERROR(IF(H77=ROUND(I77+SUM(K77:L77),0)," "," Стр. 324, Гр. 6 [H77]  д.б. = [Окр(I77+Сум(K77:L77),0)] {" &amp; ROUND(I77+SUM(K77:L77),0) &amp; "}.")," ")</f>
        <v xml:space="preserve">  </v>
      </c>
    </row>
    <row r="78" spans="1:13" ht="30" customHeight="1" x14ac:dyDescent="0.25">
      <c r="A78" s="2" t="s">
        <v>175</v>
      </c>
      <c r="B78" s="1" t="s">
        <v>624</v>
      </c>
      <c r="C78" s="7"/>
      <c r="D78" s="7"/>
      <c r="E78" s="7"/>
      <c r="F78" s="7"/>
      <c r="G78" s="7"/>
      <c r="H78" s="7"/>
      <c r="I78" s="7"/>
      <c r="J78" s="7"/>
      <c r="K78" s="7"/>
      <c r="L78" s="7"/>
      <c r="M78" s="3" t="str">
        <f>IFERROR(IF(C78=ROUND(D78+SUM(F78:G78),0)," "," Стр. 325, Гр. 1 [C78]  д.б. = [Окр(D78+Сум(F78:G78),0)] {" &amp; ROUND(D78+SUM(F78:G78),0) &amp; "}.")," ") &amp; IFERROR(IF(H78=ROUND(I78+SUM(K78:L78),0)," "," Стр. 325, Гр. 6 [H78]  д.б. = [Окр(I78+Сум(K78:L78),0)] {" &amp; ROUND(I78+SUM(K78:L78),0) &amp; "}.")," ")</f>
        <v xml:space="preserve">  </v>
      </c>
    </row>
    <row r="79" spans="1:13" ht="30" customHeight="1" x14ac:dyDescent="0.25">
      <c r="A79" s="2" t="s">
        <v>177</v>
      </c>
      <c r="B79" s="1" t="s">
        <v>625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3" t="str">
        <f>IFERROR(IF(C79=ROUND(D79+SUM(F79:G79),0)," "," Стр. 326, Гр. 1 [C79]  д.б. = [Окр(D79+Сум(F79:G79),0)] {" &amp; ROUND(D79+SUM(F79:G79),0) &amp; "}.")," ") &amp; IFERROR(IF(H79=ROUND(I79+SUM(K79:L79),0)," "," Стр. 326, Гр. 6 [H79]  д.б. = [Окр(I79+Сум(K79:L79),0)] {" &amp; ROUND(I79+SUM(K79:L79),0) &amp; "}.")," ")</f>
        <v xml:space="preserve">  </v>
      </c>
    </row>
    <row r="80" spans="1:13" ht="30" customHeight="1" x14ac:dyDescent="0.25">
      <c r="A80" s="2" t="s">
        <v>179</v>
      </c>
      <c r="B80" s="1" t="s">
        <v>626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3" t="str">
        <f>IFERROR(IF(C80=ROUND(D80+SUM(F80:G80),0)," "," Стр. 327, Гр. 1 [C80]  д.б. = [Окр(D80+Сум(F80:G80),0)] {" &amp; ROUND(D80+SUM(F80:G80),0) &amp; "}.")," ") &amp; IFERROR(IF(H80=ROUND(I80+SUM(K80:L80),0)," "," Стр. 327, Гр. 6 [H80]  д.б. = [Окр(I80+Сум(K80:L80),0)] {" &amp; ROUND(I80+SUM(K80:L80),0) &amp; "}.")," ")</f>
        <v xml:space="preserve">  </v>
      </c>
    </row>
    <row r="81" spans="1:13" ht="30" customHeight="1" x14ac:dyDescent="0.25">
      <c r="A81" s="2" t="s">
        <v>181</v>
      </c>
      <c r="B81" s="1" t="s">
        <v>627</v>
      </c>
      <c r="C81" s="7"/>
      <c r="D81" s="7"/>
      <c r="E81" s="7"/>
      <c r="F81" s="7"/>
      <c r="G81" s="7"/>
      <c r="H81" s="7"/>
      <c r="I81" s="7"/>
      <c r="J81" s="7"/>
      <c r="K81" s="7"/>
      <c r="L81" s="7"/>
      <c r="M81" s="3" t="str">
        <f>IFERROR(IF(C81=ROUND(D81+SUM(F81:G81),0)," "," Стр. 328, Гр. 1 [C81]  д.б. = [Окр(D81+Сум(F81:G81),0)] {" &amp; ROUND(D81+SUM(F81:G81),0) &amp; "}.")," ") &amp; IFERROR(IF(H81=ROUND(I81+SUM(K81:L81),0)," "," Стр. 328, Гр. 6 [H81]  д.б. = [Окр(I81+Сум(K81:L81),0)] {" &amp; ROUND(I81+SUM(K81:L81),0) &amp; "}.")," ")</f>
        <v xml:space="preserve">  </v>
      </c>
    </row>
    <row r="82" spans="1:13" ht="30" customHeight="1" x14ac:dyDescent="0.25">
      <c r="A82" s="2" t="s">
        <v>183</v>
      </c>
      <c r="B82" s="1" t="s">
        <v>628</v>
      </c>
      <c r="C82" s="7"/>
      <c r="D82" s="7"/>
      <c r="E82" s="7"/>
      <c r="F82" s="7"/>
      <c r="G82" s="7"/>
      <c r="H82" s="7"/>
      <c r="I82" s="7"/>
      <c r="J82" s="7"/>
      <c r="K82" s="7"/>
      <c r="L82" s="7"/>
      <c r="M82" s="3" t="str">
        <f>IFERROR(IF(C82=ROUND(D82+SUM(F82:G82),0)," "," Стр. 329, Гр. 1 [C82]  д.б. = [Окр(D82+Сум(F82:G82),0)] {" &amp; ROUND(D82+SUM(F82:G82),0) &amp; "}.")," ") &amp; IFERROR(IF(H82=ROUND(I82+SUM(K82:L82),0)," "," Стр. 329, Гр. 6 [H82]  д.б. = [Окр(I82+Сум(K82:L82),0)] {" &amp; ROUND(I82+SUM(K82:L82),0) &amp; "}.")," ")</f>
        <v xml:space="preserve">  </v>
      </c>
    </row>
    <row r="83" spans="1:13" ht="30" customHeight="1" x14ac:dyDescent="0.25">
      <c r="A83" s="2" t="s">
        <v>185</v>
      </c>
      <c r="B83" s="1" t="s">
        <v>629</v>
      </c>
      <c r="C83" s="7"/>
      <c r="D83" s="7"/>
      <c r="E83" s="7"/>
      <c r="F83" s="7"/>
      <c r="G83" s="7"/>
      <c r="H83" s="7"/>
      <c r="I83" s="7"/>
      <c r="J83" s="7"/>
      <c r="K83" s="7"/>
      <c r="L83" s="7"/>
      <c r="M83" s="3" t="str">
        <f>IFERROR(IF(C83=ROUND(D83+SUM(F83:G83),0)," "," Стр. 330, Гр. 1 [C83]  д.б. = [Окр(D83+Сум(F83:G83),0)] {" &amp; ROUND(D83+SUM(F83:G83),0) &amp; "}.")," ") &amp; IFERROR(IF(H83=ROUND(I83+SUM(K83:L83),0)," "," Стр. 330, Гр. 6 [H83]  д.б. = [Окр(I83+Сум(K83:L83),0)] {" &amp; ROUND(I83+SUM(K83:L83),0) &amp; "}.")," ")</f>
        <v xml:space="preserve">  </v>
      </c>
    </row>
    <row r="84" spans="1:13" ht="30" customHeight="1" x14ac:dyDescent="0.25">
      <c r="A84" s="2" t="s">
        <v>187</v>
      </c>
      <c r="B84" s="1" t="s">
        <v>630</v>
      </c>
      <c r="C84" s="7"/>
      <c r="D84" s="7"/>
      <c r="E84" s="7"/>
      <c r="F84" s="7"/>
      <c r="G84" s="7"/>
      <c r="H84" s="7"/>
      <c r="I84" s="7"/>
      <c r="J84" s="7"/>
      <c r="K84" s="7"/>
      <c r="L84" s="7"/>
      <c r="M84" s="3" t="str">
        <f>IFERROR(IF(C84=ROUND(D84+SUM(F84:G84),0)," "," Стр. 331, Гр. 1 [C84]  д.б. = [Окр(D84+Сум(F84:G84),0)] {" &amp; ROUND(D84+SUM(F84:G84),0) &amp; "}.")," ") &amp; IFERROR(IF(H84=ROUND(I84+SUM(K84:L84),0)," "," Стр. 331, Гр. 6 [H84]  д.б. = [Окр(I84+Сум(K84:L84),0)] {" &amp; ROUND(I84+SUM(K84:L84),0) &amp; "}.")," ")</f>
        <v xml:space="preserve">  </v>
      </c>
    </row>
    <row r="85" spans="1:13" ht="30" customHeight="1" x14ac:dyDescent="0.25">
      <c r="A85" s="2" t="s">
        <v>189</v>
      </c>
      <c r="B85" s="1" t="s">
        <v>631</v>
      </c>
      <c r="C85" s="7"/>
      <c r="D85" s="7"/>
      <c r="E85" s="7"/>
      <c r="F85" s="7"/>
      <c r="G85" s="7"/>
      <c r="H85" s="7"/>
      <c r="I85" s="7"/>
      <c r="J85" s="7"/>
      <c r="K85" s="7"/>
      <c r="L85" s="7"/>
      <c r="M85" s="3" t="str">
        <f>IFERROR(IF(C85=ROUND(D85+SUM(F85:G85),0)," "," Стр. 332, Гр. 1 [C85]  д.б. = [Окр(D85+Сум(F85:G85),0)] {" &amp; ROUND(D85+SUM(F85:G85),0) &amp; "}.")," ") &amp; IFERROR(IF(H85=ROUND(I85+SUM(K85:L85),0)," "," Стр. 332, Гр. 6 [H85]  д.б. = [Окр(I85+Сум(K85:L85),0)] {" &amp; ROUND(I85+SUM(K85:L85),0) &amp; "}.")," ")</f>
        <v xml:space="preserve">  </v>
      </c>
    </row>
    <row r="86" spans="1:13" ht="30" customHeight="1" x14ac:dyDescent="0.25">
      <c r="A86" s="2" t="s">
        <v>191</v>
      </c>
      <c r="B86" s="1" t="s">
        <v>632</v>
      </c>
      <c r="C86" s="7"/>
      <c r="D86" s="7"/>
      <c r="E86" s="7"/>
      <c r="F86" s="7"/>
      <c r="G86" s="7"/>
      <c r="H86" s="7"/>
      <c r="I86" s="7"/>
      <c r="J86" s="7"/>
      <c r="K86" s="7"/>
      <c r="L86" s="7"/>
      <c r="M86" s="3" t="str">
        <f>IFERROR(IF(C86=ROUND(D86+SUM(F86:G86),0)," "," Стр. 333, Гр. 1 [C86]  д.б. = [Окр(D86+Сум(F86:G86),0)] {" &amp; ROUND(D86+SUM(F86:G86),0) &amp; "}.")," ") &amp; IFERROR(IF(H86=ROUND(I86+SUM(K86:L86),0)," "," Стр. 333, Гр. 6 [H86]  д.б. = [Окр(I86+Сум(K86:L86),0)] {" &amp; ROUND(I86+SUM(K86:L86),0) &amp; "}.")," ")</f>
        <v xml:space="preserve">  </v>
      </c>
    </row>
    <row r="87" spans="1:13" ht="30" customHeight="1" x14ac:dyDescent="0.25">
      <c r="A87" s="2" t="s">
        <v>193</v>
      </c>
      <c r="B87" s="1" t="s">
        <v>633</v>
      </c>
      <c r="C87" s="7"/>
      <c r="D87" s="7"/>
      <c r="E87" s="7"/>
      <c r="F87" s="7"/>
      <c r="G87" s="7"/>
      <c r="H87" s="7"/>
      <c r="I87" s="7"/>
      <c r="J87" s="7"/>
      <c r="K87" s="7"/>
      <c r="L87" s="7"/>
      <c r="M87" s="3" t="str">
        <f>IFERROR(IF(C87=ROUND(D87+SUM(F87:G87),0)," "," Стр. 334, Гр. 1 [C87]  д.б. = [Окр(D87+Сум(F87:G87),0)] {" &amp; ROUND(D87+SUM(F87:G87),0) &amp; "}.")," ") &amp; IFERROR(IF(H87=ROUND(I87+SUM(K87:L87),0)," "," Стр. 334, Гр. 6 [H87]  д.б. = [Окр(I87+Сум(K87:L87),0)] {" &amp; ROUND(I87+SUM(K87:L87),0) &amp; "}.")," ")</f>
        <v xml:space="preserve">  </v>
      </c>
    </row>
    <row r="88" spans="1:13" ht="30" customHeight="1" x14ac:dyDescent="0.25">
      <c r="A88" s="2" t="s">
        <v>195</v>
      </c>
      <c r="B88" s="1" t="s">
        <v>634</v>
      </c>
      <c r="C88" s="7"/>
      <c r="D88" s="7"/>
      <c r="E88" s="7"/>
      <c r="F88" s="7"/>
      <c r="G88" s="7"/>
      <c r="H88" s="7"/>
      <c r="I88" s="7"/>
      <c r="J88" s="7"/>
      <c r="K88" s="7"/>
      <c r="L88" s="7"/>
      <c r="M88" s="3" t="str">
        <f>IFERROR(IF(C88=ROUND(D88+SUM(F88:G88),0)," "," Стр. 335, Гр. 1 [C88]  д.б. = [Окр(D88+Сум(F88:G88),0)] {" &amp; ROUND(D88+SUM(F88:G88),0) &amp; "}.")," ") &amp; IFERROR(IF(H88=ROUND(I88+SUM(K88:L88),0)," "," Стр. 335, Гр. 6 [H88]  д.б. = [Окр(I88+Сум(K88:L88),0)] {" &amp; ROUND(I88+SUM(K88:L88),0) &amp; "}.")," ")</f>
        <v xml:space="preserve">  </v>
      </c>
    </row>
    <row r="89" spans="1:13" ht="30" customHeight="1" x14ac:dyDescent="0.25">
      <c r="A89" s="2" t="s">
        <v>197</v>
      </c>
      <c r="B89" s="1" t="s">
        <v>635</v>
      </c>
      <c r="C89" s="7"/>
      <c r="D89" s="7"/>
      <c r="E89" s="7"/>
      <c r="F89" s="7"/>
      <c r="G89" s="7"/>
      <c r="H89" s="7"/>
      <c r="I89" s="7"/>
      <c r="J89" s="7"/>
      <c r="K89" s="7"/>
      <c r="L89" s="7"/>
      <c r="M89" s="3" t="str">
        <f>IFERROR(IF(C89=ROUND(D89+SUM(F89:G89),0)," "," Стр. 336, Гр. 1 [C89]  д.б. = [Окр(D89+Сум(F89:G89),0)] {" &amp; ROUND(D89+SUM(F89:G89),0) &amp; "}.")," ") &amp; IFERROR(IF(H89=ROUND(I89+SUM(K89:L89),0)," "," Стр. 336, Гр. 6 [H89]  д.б. = [Окр(I89+Сум(K89:L89),0)] {" &amp; ROUND(I89+SUM(K89:L89),0) &amp; "}.")," ")</f>
        <v xml:space="preserve">  </v>
      </c>
    </row>
    <row r="90" spans="1:13" ht="30" customHeight="1" x14ac:dyDescent="0.25">
      <c r="A90" s="2" t="s">
        <v>199</v>
      </c>
      <c r="B90" s="1" t="s">
        <v>636</v>
      </c>
      <c r="C90" s="7"/>
      <c r="D90" s="7"/>
      <c r="E90" s="7"/>
      <c r="F90" s="7"/>
      <c r="G90" s="7"/>
      <c r="H90" s="7"/>
      <c r="I90" s="7"/>
      <c r="J90" s="7"/>
      <c r="K90" s="7"/>
      <c r="L90" s="7"/>
      <c r="M90" s="3" t="str">
        <f>IFERROR(IF(C90=ROUND(D90+SUM(F90:G90),0)," "," Стр. 337, Гр. 1 [C90]  д.б. = [Окр(D90+Сум(F90:G90),0)] {" &amp; ROUND(D90+SUM(F90:G90),0) &amp; "}.")," ") &amp; IFERROR(IF(H90=ROUND(I90+SUM(K90:L90),0)," "," Стр. 337, Гр. 6 [H90]  д.б. = [Окр(I90+Сум(K90:L90),0)] {" &amp; ROUND(I90+SUM(K90:L90),0) &amp; "}.")," ")</f>
        <v xml:space="preserve">  </v>
      </c>
    </row>
    <row r="91" spans="1:13" ht="30" customHeight="1" x14ac:dyDescent="0.25">
      <c r="A91" s="2" t="s">
        <v>201</v>
      </c>
      <c r="B91" s="1" t="s">
        <v>637</v>
      </c>
      <c r="C91" s="7"/>
      <c r="D91" s="7"/>
      <c r="E91" s="7"/>
      <c r="F91" s="7"/>
      <c r="G91" s="7"/>
      <c r="H91" s="7"/>
      <c r="I91" s="7"/>
      <c r="J91" s="7"/>
      <c r="K91" s="7"/>
      <c r="L91" s="7"/>
      <c r="M91" s="3" t="str">
        <f>IFERROR(IF(C91=ROUND(D91+SUM(F91:G91),0)," "," Стр. 338, Гр. 1 [C91]  д.б. = [Окр(D91+Сум(F91:G91),0)] {" &amp; ROUND(D91+SUM(F91:G91),0) &amp; "}.")," ") &amp; IFERROR(IF(H91=ROUND(I91+SUM(K91:L91),0)," "," Стр. 338, Гр. 6 [H91]  д.б. = [Окр(I91+Сум(K91:L91),0)] {" &amp; ROUND(I91+SUM(K91:L91),0) &amp; "}.")," ")</f>
        <v xml:space="preserve">  </v>
      </c>
    </row>
    <row r="92" spans="1:13" ht="30" customHeight="1" x14ac:dyDescent="0.25">
      <c r="A92" s="2" t="s">
        <v>203</v>
      </c>
      <c r="B92" s="1" t="s">
        <v>638</v>
      </c>
      <c r="C92" s="7"/>
      <c r="D92" s="7"/>
      <c r="E92" s="7"/>
      <c r="F92" s="7"/>
      <c r="G92" s="7"/>
      <c r="H92" s="7"/>
      <c r="I92" s="7"/>
      <c r="J92" s="7"/>
      <c r="K92" s="7"/>
      <c r="L92" s="7"/>
      <c r="M92" s="3" t="str">
        <f>IFERROR(IF(C92=ROUND(D92+SUM(F92:G92),0)," "," Стр. 339, Гр. 1 [C92]  д.б. = [Окр(D92+Сум(F92:G92),0)] {" &amp; ROUND(D92+SUM(F92:G92),0) &amp; "}.")," ") &amp; IFERROR(IF(H92=ROUND(I92+SUM(K92:L92),0)," "," Стр. 339, Гр. 6 [H92]  д.б. = [Окр(I92+Сум(K92:L92),0)] {" &amp; ROUND(I92+SUM(K92:L92),0) &amp; "}.")," ")</f>
        <v xml:space="preserve">  </v>
      </c>
    </row>
    <row r="93" spans="1:13" ht="30" customHeight="1" x14ac:dyDescent="0.25">
      <c r="A93" s="2" t="s">
        <v>205</v>
      </c>
      <c r="B93" s="1" t="s">
        <v>639</v>
      </c>
      <c r="C93" s="7"/>
      <c r="D93" s="7"/>
      <c r="E93" s="7"/>
      <c r="F93" s="7"/>
      <c r="G93" s="7"/>
      <c r="H93" s="7"/>
      <c r="I93" s="7"/>
      <c r="J93" s="7"/>
      <c r="K93" s="7"/>
      <c r="L93" s="7"/>
      <c r="M93" s="3" t="str">
        <f>IFERROR(IF(C93=ROUND(D93+SUM(F93:G93),0)," "," Стр. 340, Гр. 1 [C93]  д.б. = [Окр(D93+Сум(F93:G93),0)] {" &amp; ROUND(D93+SUM(F93:G93),0) &amp; "}.")," ") &amp; IFERROR(IF(H93=ROUND(I93+SUM(K93:L93),0)," "," Стр. 340, Гр. 6 [H93]  д.б. = [Окр(I93+Сум(K93:L93),0)] {" &amp; ROUND(I93+SUM(K93:L93),0) &amp; "}.")," ")</f>
        <v xml:space="preserve">  </v>
      </c>
    </row>
    <row r="94" spans="1:13" ht="30" customHeight="1" x14ac:dyDescent="0.25">
      <c r="A94" s="2" t="s">
        <v>207</v>
      </c>
      <c r="B94" s="1" t="s">
        <v>640</v>
      </c>
      <c r="C94" s="7"/>
      <c r="D94" s="7"/>
      <c r="E94" s="7"/>
      <c r="F94" s="7"/>
      <c r="G94" s="7"/>
      <c r="H94" s="7"/>
      <c r="I94" s="7"/>
      <c r="J94" s="7"/>
      <c r="K94" s="7"/>
      <c r="L94" s="7"/>
      <c r="M94" s="3" t="str">
        <f>IFERROR(IF(C94=ROUND(D94+SUM(F94:G94),0)," "," Стр. 341, Гр. 1 [C94]  д.б. = [Окр(D94+Сум(F94:G94),0)] {" &amp; ROUND(D94+SUM(F94:G94),0) &amp; "}.")," ") &amp; IFERROR(IF(H94=ROUND(I94+SUM(K94:L94),0)," "," Стр. 341, Гр. 6 [H94]  д.б. = [Окр(I94+Сум(K94:L94),0)] {" &amp; ROUND(I94+SUM(K94:L94),0) &amp; "}.")," ")</f>
        <v xml:space="preserve">  </v>
      </c>
    </row>
    <row r="95" spans="1:13" ht="30" customHeight="1" x14ac:dyDescent="0.25">
      <c r="A95" s="2" t="s">
        <v>209</v>
      </c>
      <c r="B95" s="1" t="s">
        <v>641</v>
      </c>
      <c r="C95" s="7"/>
      <c r="D95" s="7"/>
      <c r="E95" s="7"/>
      <c r="F95" s="7"/>
      <c r="G95" s="7"/>
      <c r="H95" s="7"/>
      <c r="I95" s="7"/>
      <c r="J95" s="7"/>
      <c r="K95" s="7"/>
      <c r="L95" s="7"/>
      <c r="M95" s="3" t="str">
        <f>IFERROR(IF(C95=ROUND(D95+SUM(F95:G95),0)," "," Стр. 342, Гр. 1 [C95]  д.б. = [Окр(D95+Сум(F95:G95),0)] {" &amp; ROUND(D95+SUM(F95:G95),0) &amp; "}.")," ") &amp; IFERROR(IF(H95=ROUND(I95+SUM(K95:L95),0)," "," Стр. 342, Гр. 6 [H95]  д.б. = [Окр(I95+Сум(K95:L95),0)] {" &amp; ROUND(I95+SUM(K95:L95),0) &amp; "}.")," ")</f>
        <v xml:space="preserve">  </v>
      </c>
    </row>
    <row r="96" spans="1:13" ht="30" customHeight="1" x14ac:dyDescent="0.25">
      <c r="A96" s="2" t="s">
        <v>211</v>
      </c>
      <c r="B96" s="1" t="s">
        <v>642</v>
      </c>
      <c r="C96" s="7"/>
      <c r="D96" s="7"/>
      <c r="E96" s="7"/>
      <c r="F96" s="7"/>
      <c r="G96" s="7"/>
      <c r="H96" s="7"/>
      <c r="I96" s="7"/>
      <c r="J96" s="7"/>
      <c r="K96" s="7"/>
      <c r="L96" s="7"/>
      <c r="M96" s="3" t="str">
        <f>IFERROR(IF(C96=ROUND(D96+SUM(F96:G96),0)," "," Стр. 343, Гр. 1 [C96]  д.б. = [Окр(D96+Сум(F96:G96),0)] {" &amp; ROUND(D96+SUM(F96:G96),0) &amp; "}.")," ") &amp; IFERROR(IF(H96=ROUND(I96+SUM(K96:L96),0)," "," Стр. 343, Гр. 6 [H96]  д.б. = [Окр(I96+Сум(K96:L96),0)] {" &amp; ROUND(I96+SUM(K96:L96),0) &amp; "}.")," ")</f>
        <v xml:space="preserve">  </v>
      </c>
    </row>
    <row r="97" spans="1:13" ht="30" customHeight="1" x14ac:dyDescent="0.25">
      <c r="A97" s="2" t="s">
        <v>213</v>
      </c>
      <c r="B97" s="1" t="s">
        <v>643</v>
      </c>
      <c r="C97" s="7"/>
      <c r="D97" s="7"/>
      <c r="E97" s="7"/>
      <c r="F97" s="7"/>
      <c r="G97" s="7"/>
      <c r="H97" s="7"/>
      <c r="I97" s="7"/>
      <c r="J97" s="7"/>
      <c r="K97" s="7"/>
      <c r="L97" s="7"/>
      <c r="M97" s="3" t="str">
        <f>IFERROR(IF(C97=ROUND(D97+SUM(F97:G97),0)," "," Стр. 344, Гр. 1 [C97]  д.б. = [Окр(D97+Сум(F97:G97),0)] {" &amp; ROUND(D97+SUM(F97:G97),0) &amp; "}.")," ") &amp; IFERROR(IF(H97=ROUND(I97+SUM(K97:L97),0)," "," Стр. 344, Гр. 6 [H97]  д.б. = [Окр(I97+Сум(K97:L97),0)] {" &amp; ROUND(I97+SUM(K97:L97),0) &amp; "}.")," ")</f>
        <v xml:space="preserve">  </v>
      </c>
    </row>
    <row r="98" spans="1:13" ht="30" customHeight="1" x14ac:dyDescent="0.25">
      <c r="A98" s="2" t="s">
        <v>215</v>
      </c>
      <c r="B98" s="1" t="s">
        <v>644</v>
      </c>
      <c r="C98" s="7"/>
      <c r="D98" s="7"/>
      <c r="E98" s="7"/>
      <c r="F98" s="7"/>
      <c r="G98" s="7"/>
      <c r="H98" s="7"/>
      <c r="I98" s="7"/>
      <c r="J98" s="7"/>
      <c r="K98" s="7"/>
      <c r="L98" s="7"/>
      <c r="M98" s="3" t="str">
        <f>IFERROR(IF(C98=ROUND(D98+SUM(F98:G98),0)," "," Стр. 345, Гр. 1 [C98]  д.б. = [Окр(D98+Сум(F98:G98),0)] {" &amp; ROUND(D98+SUM(F98:G98),0) &amp; "}.")," ") &amp; IFERROR(IF(H98=ROUND(I98+SUM(K98:L98),0)," "," Стр. 345, Гр. 6 [H98]  д.б. = [Окр(I98+Сум(K98:L98),0)] {" &amp; ROUND(I98+SUM(K98:L98),0) &amp; "}.")," ")</f>
        <v xml:space="preserve">  </v>
      </c>
    </row>
    <row r="99" spans="1:13" ht="30" customHeight="1" x14ac:dyDescent="0.25">
      <c r="A99" s="2" t="s">
        <v>217</v>
      </c>
      <c r="B99" s="1" t="s">
        <v>645</v>
      </c>
      <c r="C99" s="7"/>
      <c r="D99" s="7"/>
      <c r="E99" s="7"/>
      <c r="F99" s="7"/>
      <c r="G99" s="7"/>
      <c r="H99" s="7"/>
      <c r="I99" s="7"/>
      <c r="J99" s="7"/>
      <c r="K99" s="7"/>
      <c r="L99" s="7"/>
      <c r="M99" s="3" t="str">
        <f>IFERROR(IF(C99=ROUND(D99+SUM(F99:G99),0)," "," Стр. 346, Гр. 1 [C99]  д.б. = [Окр(D99+Сум(F99:G99),0)] {" &amp; ROUND(D99+SUM(F99:G99),0) &amp; "}.")," ") &amp; IFERROR(IF(H99=ROUND(I99+SUM(K99:L99),0)," "," Стр. 346, Гр. 6 [H99]  д.б. = [Окр(I99+Сум(K99:L99),0)] {" &amp; ROUND(I99+SUM(K99:L99),0) &amp; "}.")," ")</f>
        <v xml:space="preserve">  </v>
      </c>
    </row>
    <row r="100" spans="1:13" ht="30" customHeight="1" x14ac:dyDescent="0.25">
      <c r="A100" s="2" t="s">
        <v>219</v>
      </c>
      <c r="B100" s="1" t="s">
        <v>646</v>
      </c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3" t="str">
        <f>IFERROR(IF(C100=ROUND(D100+SUM(F100:G100),0)," "," Стр. 347, Гр. 1 [C100]  д.б. = [Окр(D100+Сум(F100:G100),0)] {" &amp; ROUND(D100+SUM(F100:G100),0) &amp; "}.")," ") &amp; IFERROR(IF(H100=ROUND(I100+SUM(K100:L100),0)," "," Стр. 347, Гр. 6 [H100]  д.б. = [Окр(I100+Сум(K100:L100),0)] {" &amp; ROUND(I100+SUM(K100:L100),0) &amp; "}.")," ")</f>
        <v xml:space="preserve">  </v>
      </c>
    </row>
    <row r="101" spans="1:13" ht="30" customHeight="1" x14ac:dyDescent="0.25">
      <c r="A101" s="2" t="s">
        <v>221</v>
      </c>
      <c r="B101" s="1" t="s">
        <v>647</v>
      </c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3" t="str">
        <f>IFERROR(IF(C101=ROUND(D101+SUM(F101:G101),0)," "," Стр. 348, Гр. 1 [C101]  д.б. = [Окр(D101+Сум(F101:G101),0)] {" &amp; ROUND(D101+SUM(F101:G101),0) &amp; "}.")," ") &amp; IFERROR(IF(H101=ROUND(I101+SUM(K101:L101),0)," "," Стр. 348, Гр. 6 [H101]  д.б. = [Окр(I101+Сум(K101:L101),0)] {" &amp; ROUND(I101+SUM(K101:L101),0) &amp; "}.")," ")</f>
        <v xml:space="preserve">  </v>
      </c>
    </row>
    <row r="102" spans="1:13" ht="30" customHeight="1" x14ac:dyDescent="0.25">
      <c r="A102" s="2" t="s">
        <v>223</v>
      </c>
      <c r="B102" s="1" t="s">
        <v>648</v>
      </c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3" t="str">
        <f>IFERROR(IF(C102=ROUND(D102+SUM(F102:G102),0)," "," Стр. 349, Гр. 1 [C102]  д.б. = [Окр(D102+Сум(F102:G102),0)] {" &amp; ROUND(D102+SUM(F102:G102),0) &amp; "}.")," ") &amp; IFERROR(IF(H102=ROUND(I102+SUM(K102:L102),0)," "," Стр. 349, Гр. 6 [H102]  д.б. = [Окр(I102+Сум(K102:L102),0)] {" &amp; ROUND(I102+SUM(K102:L102),0) &amp; "}.")," ")</f>
        <v xml:space="preserve">  </v>
      </c>
    </row>
    <row r="103" spans="1:13" ht="30" customHeight="1" x14ac:dyDescent="0.25">
      <c r="A103" s="2" t="s">
        <v>225</v>
      </c>
      <c r="B103" s="1" t="s">
        <v>649</v>
      </c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3" t="str">
        <f>IFERROR(IF(C103=ROUND(D103+SUM(F103:G103),0)," "," Стр. 350, Гр. 1 [C103]  д.б. = [Окр(D103+Сум(F103:G103),0)] {" &amp; ROUND(D103+SUM(F103:G103),0) &amp; "}.")," ") &amp; IFERROR(IF(H103=ROUND(I103+SUM(K103:L103),0)," "," Стр. 350, Гр. 6 [H103]  д.б. = [Окр(I103+Сум(K103:L103),0)] {" &amp; ROUND(I103+SUM(K103:L103),0) &amp; "}.")," ")</f>
        <v xml:space="preserve">  </v>
      </c>
    </row>
    <row r="104" spans="1:13" ht="30" customHeight="1" x14ac:dyDescent="0.25">
      <c r="A104" s="2" t="s">
        <v>227</v>
      </c>
      <c r="B104" s="1" t="s">
        <v>650</v>
      </c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3" t="str">
        <f>IFERROR(IF(C104=ROUND(D104+SUM(F104:G104),0)," "," Стр. 351, Гр. 1 [C104]  д.б. = [Окр(D104+Сум(F104:G104),0)] {" &amp; ROUND(D104+SUM(F104:G104),0) &amp; "}.")," ") &amp; IFERROR(IF(H104=ROUND(I104+SUM(K104:L104),0)," "," Стр. 351, Гр. 6 [H104]  д.б. = [Окр(I104+Сум(K104:L104),0)] {" &amp; ROUND(I104+SUM(K104:L104),0) &amp; "}.")," ")</f>
        <v xml:space="preserve">  </v>
      </c>
    </row>
    <row r="105" spans="1:13" ht="30" customHeight="1" x14ac:dyDescent="0.25">
      <c r="A105" s="2" t="s">
        <v>229</v>
      </c>
      <c r="B105" s="1" t="s">
        <v>651</v>
      </c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3" t="str">
        <f>IFERROR(IF(C105=ROUND(D105+SUM(F105:G105),0)," "," Стр. 352, Гр. 1 [C105]  д.б. = [Окр(D105+Сум(F105:G105),0)] {" &amp; ROUND(D105+SUM(F105:G105),0) &amp; "}.")," ") &amp; IFERROR(IF(H105=ROUND(I105+SUM(K105:L105),0)," "," Стр. 352, Гр. 6 [H105]  д.б. = [Окр(I105+Сум(K105:L105),0)] {" &amp; ROUND(I105+SUM(K105:L105),0) &amp; "}.")," ")</f>
        <v xml:space="preserve">  </v>
      </c>
    </row>
    <row r="106" spans="1:13" ht="30" customHeight="1" x14ac:dyDescent="0.25">
      <c r="A106" s="2" t="s">
        <v>231</v>
      </c>
      <c r="B106" s="1" t="s">
        <v>652</v>
      </c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3" t="str">
        <f>IFERROR(IF(C106=ROUND(D106+SUM(F106:G106),0)," "," Стр. 353, Гр. 1 [C106]  д.б. = [Окр(D106+Сум(F106:G106),0)] {" &amp; ROUND(D106+SUM(F106:G106),0) &amp; "}.")," ") &amp; IFERROR(IF(H106=ROUND(I106+SUM(K106:L106),0)," "," Стр. 353, Гр. 6 [H106]  д.б. = [Окр(I106+Сум(K106:L106),0)] {" &amp; ROUND(I106+SUM(K106:L106),0) &amp; "}.")," ")</f>
        <v xml:space="preserve">  </v>
      </c>
    </row>
    <row r="107" spans="1:13" ht="30" customHeight="1" x14ac:dyDescent="0.25">
      <c r="A107" s="2" t="s">
        <v>233</v>
      </c>
      <c r="B107" s="1" t="s">
        <v>653</v>
      </c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3" t="str">
        <f>IFERROR(IF(C107=ROUND(D107+SUM(F107:G107),0)," "," Стр. 354, Гр. 1 [C107]  д.б. = [Окр(D107+Сум(F107:G107),0)] {" &amp; ROUND(D107+SUM(F107:G107),0) &amp; "}.")," ") &amp; IFERROR(IF(H107=ROUND(I107+SUM(K107:L107),0)," "," Стр. 354, Гр. 6 [H107]  д.б. = [Окр(I107+Сум(K107:L107),0)] {" &amp; ROUND(I107+SUM(K107:L107),0) &amp; "}.")," ")</f>
        <v xml:space="preserve">  </v>
      </c>
    </row>
    <row r="108" spans="1:13" ht="30" customHeight="1" x14ac:dyDescent="0.25">
      <c r="A108" s="2" t="s">
        <v>235</v>
      </c>
      <c r="B108" s="1" t="s">
        <v>654</v>
      </c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3" t="str">
        <f>IFERROR(IF(C108=ROUND(D108+SUM(F108:G108),0)," "," Стр. 355, Гр. 1 [C108]  д.б. = [Окр(D108+Сум(F108:G108),0)] {" &amp; ROUND(D108+SUM(F108:G108),0) &amp; "}.")," ") &amp; IFERROR(IF(H108=ROUND(I108+SUM(K108:L108),0)," "," Стр. 355, Гр. 6 [H108]  д.б. = [Окр(I108+Сум(K108:L108),0)] {" &amp; ROUND(I108+SUM(K108:L108),0) &amp; "}.")," ")</f>
        <v xml:space="preserve">  </v>
      </c>
    </row>
    <row r="109" spans="1:13" ht="30" customHeight="1" x14ac:dyDescent="0.25">
      <c r="A109" s="2" t="s">
        <v>237</v>
      </c>
      <c r="B109" s="1" t="s">
        <v>655</v>
      </c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3" t="str">
        <f>IFERROR(IF(C109=ROUND(D109+SUM(F109:G109),0)," "," Стр. 356, Гр. 1 [C109]  д.б. = [Окр(D109+Сум(F109:G109),0)] {" &amp; ROUND(D109+SUM(F109:G109),0) &amp; "}.")," ") &amp; IFERROR(IF(H109=ROUND(I109+SUM(K109:L109),0)," "," Стр. 356, Гр. 6 [H109]  д.б. = [Окр(I109+Сум(K109:L109),0)] {" &amp; ROUND(I109+SUM(K109:L109),0) &amp; "}.")," ")</f>
        <v xml:space="preserve">  </v>
      </c>
    </row>
    <row r="110" spans="1:13" ht="30" customHeight="1" x14ac:dyDescent="0.25">
      <c r="A110" s="2" t="s">
        <v>239</v>
      </c>
      <c r="B110" s="1" t="s">
        <v>656</v>
      </c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3" t="str">
        <f>IFERROR(IF(C110=ROUND(D110+SUM(F110:G110),0)," "," Стр. 357, Гр. 1 [C110]  д.б. = [Окр(D110+Сум(F110:G110),0)] {" &amp; ROUND(D110+SUM(F110:G110),0) &amp; "}.")," ") &amp; IFERROR(IF(H110=ROUND(I110+SUM(K110:L110),0)," "," Стр. 357, Гр. 6 [H110]  д.б. = [Окр(I110+Сум(K110:L110),0)] {" &amp; ROUND(I110+SUM(K110:L110),0) &amp; "}.")," ")</f>
        <v xml:space="preserve">  </v>
      </c>
    </row>
    <row r="111" spans="1:13" ht="30" customHeight="1" x14ac:dyDescent="0.25">
      <c r="A111" s="2" t="s">
        <v>241</v>
      </c>
      <c r="B111" s="1" t="s">
        <v>657</v>
      </c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3" t="str">
        <f>IFERROR(IF(C111=ROUND(D111+SUM(F111:G111),0)," "," Стр. 358, Гр. 1 [C111]  д.б. = [Окр(D111+Сум(F111:G111),0)] {" &amp; ROUND(D111+SUM(F111:G111),0) &amp; "}.")," ") &amp; IFERROR(IF(H111=ROUND(I111+SUM(K111:L111),0)," "," Стр. 358, Гр. 6 [H111]  д.б. = [Окр(I111+Сум(K111:L111),0)] {" &amp; ROUND(I111+SUM(K111:L111),0) &amp; "}.")," ")</f>
        <v xml:space="preserve">  </v>
      </c>
    </row>
    <row r="112" spans="1:13" ht="30" customHeight="1" x14ac:dyDescent="0.25">
      <c r="A112" s="2" t="s">
        <v>243</v>
      </c>
      <c r="B112" s="1" t="s">
        <v>658</v>
      </c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3" t="str">
        <f>IFERROR(IF(C112=ROUND(D112+SUM(F112:G112),0)," "," Стр. 359, Гр. 1 [C112]  д.б. = [Окр(D112+Сум(F112:G112),0)] {" &amp; ROUND(D112+SUM(F112:G112),0) &amp; "}.")," ") &amp; IFERROR(IF(H112=ROUND(I112+SUM(K112:L112),0)," "," Стр. 359, Гр. 6 [H112]  д.б. = [Окр(I112+Сум(K112:L112),0)] {" &amp; ROUND(I112+SUM(K112:L112),0) &amp; "}.")," ")</f>
        <v xml:space="preserve">  </v>
      </c>
    </row>
    <row r="113" spans="1:13" ht="30" customHeight="1" x14ac:dyDescent="0.25">
      <c r="A113" s="2" t="s">
        <v>245</v>
      </c>
      <c r="B113" s="1" t="s">
        <v>659</v>
      </c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3" t="str">
        <f>IFERROR(IF(C113=ROUND(D113+SUM(F113:G113),0)," "," Стр. 360, Гр. 1 [C113]  д.б. = [Окр(D113+Сум(F113:G113),0)] {" &amp; ROUND(D113+SUM(F113:G113),0) &amp; "}.")," ") &amp; IFERROR(IF(H113=ROUND(I113+SUM(K113:L113),0)," "," Стр. 360, Гр. 6 [H113]  д.б. = [Окр(I113+Сум(K113:L113),0)] {" &amp; ROUND(I113+SUM(K113:L113),0) &amp; "}.")," ")</f>
        <v xml:space="preserve">  </v>
      </c>
    </row>
    <row r="114" spans="1:13" ht="30" customHeight="1" x14ac:dyDescent="0.25">
      <c r="A114" s="2" t="s">
        <v>247</v>
      </c>
      <c r="B114" s="1" t="s">
        <v>660</v>
      </c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3" t="str">
        <f>IFERROR(IF(C114=ROUND(D114+SUM(F114:G114),0)," "," Стр. 361, Гр. 1 [C114]  д.б. = [Окр(D114+Сум(F114:G114),0)] {" &amp; ROUND(D114+SUM(F114:G114),0) &amp; "}.")," ") &amp; IFERROR(IF(H114=ROUND(I114+SUM(K114:L114),0)," "," Стр. 361, Гр. 6 [H114]  д.б. = [Окр(I114+Сум(K114:L114),0)] {" &amp; ROUND(I114+SUM(K114:L114),0) &amp; "}.")," ")</f>
        <v xml:space="preserve">  </v>
      </c>
    </row>
    <row r="115" spans="1:13" ht="30" customHeight="1" x14ac:dyDescent="0.25">
      <c r="A115" s="2" t="s">
        <v>249</v>
      </c>
      <c r="B115" s="1" t="s">
        <v>661</v>
      </c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3" t="str">
        <f>IFERROR(IF(C115=ROUND(D115+SUM(F115:G115),0)," "," Стр. 362, Гр. 1 [C115]  д.б. = [Окр(D115+Сум(F115:G115),0)] {" &amp; ROUND(D115+SUM(F115:G115),0) &amp; "}.")," ") &amp; IFERROR(IF(H115=ROUND(I115+SUM(K115:L115),0)," "," Стр. 362, Гр. 6 [H115]  д.б. = [Окр(I115+Сум(K115:L115),0)] {" &amp; ROUND(I115+SUM(K115:L115),0) &amp; "}.")," ")</f>
        <v xml:space="preserve">  </v>
      </c>
    </row>
    <row r="116" spans="1:13" ht="30" customHeight="1" x14ac:dyDescent="0.25">
      <c r="A116" s="2" t="s">
        <v>251</v>
      </c>
      <c r="B116" s="1" t="s">
        <v>662</v>
      </c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3" t="str">
        <f>IFERROR(IF(C116=ROUND(D116+SUM(F116:G116),0)," "," Стр. 363, Гр. 1 [C116]  д.б. = [Окр(D116+Сум(F116:G116),0)] {" &amp; ROUND(D116+SUM(F116:G116),0) &amp; "}.")," ") &amp; IFERROR(IF(H116=ROUND(I116+SUM(K116:L116),0)," "," Стр. 363, Гр. 6 [H116]  д.б. = [Окр(I116+Сум(K116:L116),0)] {" &amp; ROUND(I116+SUM(K116:L116),0) &amp; "}.")," ")</f>
        <v xml:space="preserve">  </v>
      </c>
    </row>
    <row r="117" spans="1:13" ht="30" customHeight="1" x14ac:dyDescent="0.25">
      <c r="A117" s="2" t="s">
        <v>253</v>
      </c>
      <c r="B117" s="1" t="s">
        <v>663</v>
      </c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3" t="str">
        <f>IFERROR(IF(C117=ROUND(D117+SUM(F117:G117),0)," "," Стр. 364, Гр. 1 [C117]  д.б. = [Окр(D117+Сум(F117:G117),0)] {" &amp; ROUND(D117+SUM(F117:G117),0) &amp; "}.")," ") &amp; IFERROR(IF(H117=ROUND(I117+SUM(K117:L117),0)," "," Стр. 364, Гр. 6 [H117]  д.б. = [Окр(I117+Сум(K117:L117),0)] {" &amp; ROUND(I117+SUM(K117:L117),0) &amp; "}.")," ")</f>
        <v xml:space="preserve">  </v>
      </c>
    </row>
    <row r="118" spans="1:13" ht="30" customHeight="1" x14ac:dyDescent="0.25">
      <c r="A118" s="2" t="s">
        <v>255</v>
      </c>
      <c r="B118" s="1" t="s">
        <v>664</v>
      </c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3" t="str">
        <f>IFERROR(IF(C118=ROUND(D118+SUM(F118:G118),0)," "," Стр. 365, Гр. 1 [C118]  д.б. = [Окр(D118+Сум(F118:G118),0)] {" &amp; ROUND(D118+SUM(F118:G118),0) &amp; "}.")," ") &amp; IFERROR(IF(H118=ROUND(I118+SUM(K118:L118),0)," "," Стр. 365, Гр. 6 [H118]  д.б. = [Окр(I118+Сум(K118:L118),0)] {" &amp; ROUND(I118+SUM(K118:L118),0) &amp; "}.")," ")</f>
        <v xml:space="preserve">  </v>
      </c>
    </row>
    <row r="119" spans="1:13" ht="30" customHeight="1" x14ac:dyDescent="0.25">
      <c r="A119" s="2" t="s">
        <v>257</v>
      </c>
      <c r="B119" s="1" t="s">
        <v>665</v>
      </c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3" t="str">
        <f>IFERROR(IF(C119=ROUND(D119+SUM(F119:G119),0)," "," Стр. 366, Гр. 1 [C119]  д.б. = [Окр(D119+Сум(F119:G119),0)] {" &amp; ROUND(D119+SUM(F119:G119),0) &amp; "}.")," ") &amp; IFERROR(IF(H119=ROUND(I119+SUM(K119:L119),0)," "," Стр. 366, Гр. 6 [H119]  д.б. = [Окр(I119+Сум(K119:L119),0)] {" &amp; ROUND(I119+SUM(K119:L119),0) &amp; "}.")," ")</f>
        <v xml:space="preserve">  </v>
      </c>
    </row>
    <row r="120" spans="1:13" ht="30" customHeight="1" x14ac:dyDescent="0.25">
      <c r="A120" s="2" t="s">
        <v>259</v>
      </c>
      <c r="B120" s="1" t="s">
        <v>666</v>
      </c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3" t="str">
        <f>IFERROR(IF(C120=ROUND(D120+SUM(F120:G120),0)," "," Стр. 367, Гр. 1 [C120]  д.б. = [Окр(D120+Сум(F120:G120),0)] {" &amp; ROUND(D120+SUM(F120:G120),0) &amp; "}.")," ") &amp; IFERROR(IF(H120=ROUND(I120+SUM(K120:L120),0)," "," Стр. 367, Гр. 6 [H120]  д.б. = [Окр(I120+Сум(K120:L120),0)] {" &amp; ROUND(I120+SUM(K120:L120),0) &amp; "}.")," ")</f>
        <v xml:space="preserve">  </v>
      </c>
    </row>
    <row r="121" spans="1:13" ht="30" customHeight="1" x14ac:dyDescent="0.25">
      <c r="A121" s="2" t="s">
        <v>261</v>
      </c>
      <c r="B121" s="1" t="s">
        <v>667</v>
      </c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3" t="str">
        <f>IFERROR(IF(C121=ROUND(D121+SUM(F121:G121),0)," "," Стр. 368, Гр. 1 [C121]  д.б. = [Окр(D121+Сум(F121:G121),0)] {" &amp; ROUND(D121+SUM(F121:G121),0) &amp; "}.")," ") &amp; IFERROR(IF(H121=ROUND(I121+SUM(K121:L121),0)," "," Стр. 368, Гр. 6 [H121]  д.б. = [Окр(I121+Сум(K121:L121),0)] {" &amp; ROUND(I121+SUM(K121:L121),0) &amp; "}.")," ")</f>
        <v xml:space="preserve">  </v>
      </c>
    </row>
    <row r="122" spans="1:13" ht="30" customHeight="1" x14ac:dyDescent="0.25">
      <c r="A122" s="2" t="s">
        <v>263</v>
      </c>
      <c r="B122" s="1" t="s">
        <v>668</v>
      </c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3" t="str">
        <f>IFERROR(IF(C122=ROUND(D122+SUM(F122:G122),0)," "," Стр. 369, Гр. 1 [C122]  д.б. = [Окр(D122+Сум(F122:G122),0)] {" &amp; ROUND(D122+SUM(F122:G122),0) &amp; "}.")," ") &amp; IFERROR(IF(H122=ROUND(I122+SUM(K122:L122),0)," "," Стр. 369, Гр. 6 [H122]  д.б. = [Окр(I122+Сум(K122:L122),0)] {" &amp; ROUND(I122+SUM(K122:L122),0) &amp; "}.")," ")</f>
        <v xml:space="preserve">  </v>
      </c>
    </row>
    <row r="123" spans="1:13" ht="30" customHeight="1" x14ac:dyDescent="0.25">
      <c r="A123" s="2" t="s">
        <v>265</v>
      </c>
      <c r="B123" s="1" t="s">
        <v>669</v>
      </c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3" t="str">
        <f>IFERROR(IF(C123=ROUND(D123+SUM(F123:G123),0)," "," Стр. 370, Гр. 1 [C123]  д.б. = [Окр(D123+Сум(F123:G123),0)] {" &amp; ROUND(D123+SUM(F123:G123),0) &amp; "}.")," ") &amp; IFERROR(IF(H123=ROUND(I123+SUM(K123:L123),0)," "," Стр. 370, Гр. 6 [H123]  д.б. = [Окр(I123+Сум(K123:L123),0)] {" &amp; ROUND(I123+SUM(K123:L123),0) &amp; "}.")," ")</f>
        <v xml:space="preserve">  </v>
      </c>
    </row>
    <row r="124" spans="1:13" ht="30" customHeight="1" x14ac:dyDescent="0.25">
      <c r="A124" s="2" t="s">
        <v>267</v>
      </c>
      <c r="B124" s="1" t="s">
        <v>670</v>
      </c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3" t="str">
        <f>IFERROR(IF(C124=ROUND(D124+SUM(F124:G124),0)," "," Стр. 371, Гр. 1 [C124]  д.б. = [Окр(D124+Сум(F124:G124),0)] {" &amp; ROUND(D124+SUM(F124:G124),0) &amp; "}.")," ") &amp; IFERROR(IF(H124=ROUND(I124+SUM(K124:L124),0)," "," Стр. 371, Гр. 6 [H124]  д.б. = [Окр(I124+Сум(K124:L124),0)] {" &amp; ROUND(I124+SUM(K124:L124),0) &amp; "}.")," ")</f>
        <v xml:space="preserve">  </v>
      </c>
    </row>
    <row r="125" spans="1:13" ht="30" customHeight="1" x14ac:dyDescent="0.25">
      <c r="A125" s="2" t="s">
        <v>269</v>
      </c>
      <c r="B125" s="1" t="s">
        <v>671</v>
      </c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3" t="str">
        <f>IFERROR(IF(C125=ROUND(D125+SUM(F125:G125),0)," "," Стр. 372, Гр. 1 [C125]  д.б. = [Окр(D125+Сум(F125:G125),0)] {" &amp; ROUND(D125+SUM(F125:G125),0) &amp; "}.")," ") &amp; IFERROR(IF(H125=ROUND(I125+SUM(K125:L125),0)," "," Стр. 372, Гр. 6 [H125]  д.б. = [Окр(I125+Сум(K125:L125),0)] {" &amp; ROUND(I125+SUM(K125:L125),0) &amp; "}.")," ")</f>
        <v xml:space="preserve">  </v>
      </c>
    </row>
    <row r="126" spans="1:13" ht="30" customHeight="1" x14ac:dyDescent="0.25">
      <c r="A126" s="2" t="s">
        <v>271</v>
      </c>
      <c r="B126" s="1" t="s">
        <v>672</v>
      </c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3" t="str">
        <f>IFERROR(IF(C126=ROUND(D126+SUM(F126:G126),0)," "," Стр. 373, Гр. 1 [C126]  д.б. = [Окр(D126+Сум(F126:G126),0)] {" &amp; ROUND(D126+SUM(F126:G126),0) &amp; "}.")," ") &amp; IFERROR(IF(H126=ROUND(I126+SUM(K126:L126),0)," "," Стр. 373, Гр. 6 [H126]  д.б. = [Окр(I126+Сум(K126:L126),0)] {" &amp; ROUND(I126+SUM(K126:L126),0) &amp; "}.")," ")</f>
        <v xml:space="preserve">  </v>
      </c>
    </row>
    <row r="127" spans="1:13" ht="30" customHeight="1" x14ac:dyDescent="0.25">
      <c r="A127" s="2" t="s">
        <v>273</v>
      </c>
      <c r="B127" s="1" t="s">
        <v>673</v>
      </c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3" t="str">
        <f>IFERROR(IF(C127=ROUND(D127+SUM(F127:G127),0)," "," Стр. 374, Гр. 1 [C127]  д.б. = [Окр(D127+Сум(F127:G127),0)] {" &amp; ROUND(D127+SUM(F127:G127),0) &amp; "}.")," ") &amp; IFERROR(IF(H127=ROUND(I127+SUM(K127:L127),0)," "," Стр. 374, Гр. 6 [H127]  д.б. = [Окр(I127+Сум(K127:L127),0)] {" &amp; ROUND(I127+SUM(K127:L127),0) &amp; "}.")," ")</f>
        <v xml:space="preserve">  </v>
      </c>
    </row>
    <row r="128" spans="1:13" ht="30" customHeight="1" x14ac:dyDescent="0.25">
      <c r="A128" s="2" t="s">
        <v>275</v>
      </c>
      <c r="B128" s="1" t="s">
        <v>674</v>
      </c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3" t="str">
        <f>IFERROR(IF(C128=ROUND(D128+SUM(F128:G128),0)," "," Стр. 375, Гр. 1 [C128]  д.б. = [Окр(D128+Сум(F128:G128),0)] {" &amp; ROUND(D128+SUM(F128:G128),0) &amp; "}.")," ") &amp; IFERROR(IF(H128=ROUND(I128+SUM(K128:L128),0)," "," Стр. 375, Гр. 6 [H128]  д.б. = [Окр(I128+Сум(K128:L128),0)] {" &amp; ROUND(I128+SUM(K128:L128),0) &amp; "}.")," ")</f>
        <v xml:space="preserve">  </v>
      </c>
    </row>
    <row r="129" spans="1:13" ht="30" customHeight="1" x14ac:dyDescent="0.25">
      <c r="A129" s="2" t="s">
        <v>277</v>
      </c>
      <c r="B129" s="1" t="s">
        <v>675</v>
      </c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3" t="str">
        <f>IFERROR(IF(C129=ROUND(D129+SUM(F129:G129),0)," "," Стр. 376, Гр. 1 [C129]  д.б. = [Окр(D129+Сум(F129:G129),0)] {" &amp; ROUND(D129+SUM(F129:G129),0) &amp; "}.")," ") &amp; IFERROR(IF(H129=ROUND(I129+SUM(K129:L129),0)," "," Стр. 376, Гр. 6 [H129]  д.б. = [Окр(I129+Сум(K129:L129),0)] {" &amp; ROUND(I129+SUM(K129:L129),0) &amp; "}.")," ")</f>
        <v xml:space="preserve">  </v>
      </c>
    </row>
    <row r="130" spans="1:13" ht="30" customHeight="1" x14ac:dyDescent="0.25">
      <c r="A130" s="2" t="s">
        <v>279</v>
      </c>
      <c r="B130" s="1" t="s">
        <v>676</v>
      </c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3" t="str">
        <f>IFERROR(IF(C130=ROUND(D130+SUM(F130:G130),0)," "," Стр. 377, Гр. 1 [C130]  д.б. = [Окр(D130+Сум(F130:G130),0)] {" &amp; ROUND(D130+SUM(F130:G130),0) &amp; "}.")," ") &amp; IFERROR(IF(H130=ROUND(I130+SUM(K130:L130),0)," "," Стр. 377, Гр. 6 [H130]  д.б. = [Окр(I130+Сум(K130:L130),0)] {" &amp; ROUND(I130+SUM(K130:L130),0) &amp; "}.")," ")</f>
        <v xml:space="preserve">  </v>
      </c>
    </row>
    <row r="131" spans="1:13" ht="30" customHeight="1" x14ac:dyDescent="0.25">
      <c r="A131" s="2" t="s">
        <v>281</v>
      </c>
      <c r="B131" s="1" t="s">
        <v>677</v>
      </c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3" t="str">
        <f>IFERROR(IF(C131=ROUND(D131+SUM(F131:G131),0)," "," Стр. 378, Гр. 1 [C131]  д.б. = [Окр(D131+Сум(F131:G131),0)] {" &amp; ROUND(D131+SUM(F131:G131),0) &amp; "}.")," ") &amp; IFERROR(IF(H131=ROUND(I131+SUM(K131:L131),0)," "," Стр. 378, Гр. 6 [H131]  д.б. = [Окр(I131+Сум(K131:L131),0)] {" &amp; ROUND(I131+SUM(K131:L131),0) &amp; "}.")," ")</f>
        <v xml:space="preserve">  </v>
      </c>
    </row>
    <row r="132" spans="1:13" ht="30" customHeight="1" x14ac:dyDescent="0.25">
      <c r="A132" s="2" t="s">
        <v>283</v>
      </c>
      <c r="B132" s="1" t="s">
        <v>678</v>
      </c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3" t="str">
        <f>IFERROR(IF(C132=ROUND(D132+SUM(F132:G132),0)," "," Стр. 379, Гр. 1 [C132]  д.б. = [Окр(D132+Сум(F132:G132),0)] {" &amp; ROUND(D132+SUM(F132:G132),0) &amp; "}.")," ") &amp; IFERROR(IF(H132=ROUND(I132+SUM(K132:L132),0)," "," Стр. 379, Гр. 6 [H132]  д.б. = [Окр(I132+Сум(K132:L132),0)] {" &amp; ROUND(I132+SUM(K132:L132),0) &amp; "}.")," ")</f>
        <v xml:space="preserve">  </v>
      </c>
    </row>
    <row r="133" spans="1:13" ht="30" customHeight="1" x14ac:dyDescent="0.25">
      <c r="A133" s="2" t="s">
        <v>285</v>
      </c>
      <c r="B133" s="1" t="s">
        <v>679</v>
      </c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3" t="str">
        <f>IFERROR(IF(C133=ROUND(D133+SUM(F133:G133),0)," "," Стр. 380, Гр. 1 [C133]  д.б. = [Окр(D133+Сум(F133:G133),0)] {" &amp; ROUND(D133+SUM(F133:G133),0) &amp; "}.")," ") &amp; IFERROR(IF(H133=ROUND(I133+SUM(K133:L133),0)," "," Стр. 380, Гр. 6 [H133]  д.б. = [Окр(I133+Сум(K133:L133),0)] {" &amp; ROUND(I133+SUM(K133:L133),0) &amp; "}.")," ")</f>
        <v xml:space="preserve">  </v>
      </c>
    </row>
    <row r="134" spans="1:13" ht="30" customHeight="1" x14ac:dyDescent="0.25">
      <c r="A134" s="2" t="s">
        <v>287</v>
      </c>
      <c r="B134" s="1" t="s">
        <v>680</v>
      </c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3" t="str">
        <f>IFERROR(IF(C134=ROUND(D134+SUM(F134:G134),0)," "," Стр. 381, Гр. 1 [C134]  д.б. = [Окр(D134+Сум(F134:G134),0)] {" &amp; ROUND(D134+SUM(F134:G134),0) &amp; "}.")," ") &amp; IFERROR(IF(H134=ROUND(I134+SUM(K134:L134),0)," "," Стр. 381, Гр. 6 [H134]  д.б. = [Окр(I134+Сум(K134:L134),0)] {" &amp; ROUND(I134+SUM(K134:L134),0) &amp; "}.")," ")</f>
        <v xml:space="preserve">  </v>
      </c>
    </row>
    <row r="135" spans="1:13" ht="30" customHeight="1" x14ac:dyDescent="0.25">
      <c r="A135" s="2" t="s">
        <v>289</v>
      </c>
      <c r="B135" s="1" t="s">
        <v>681</v>
      </c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3" t="str">
        <f>IFERROR(IF(C135=ROUND(D135+SUM(F135:G135),0)," "," Стр. 382, Гр. 1 [C135]  д.б. = [Окр(D135+Сум(F135:G135),0)] {" &amp; ROUND(D135+SUM(F135:G135),0) &amp; "}.")," ") &amp; IFERROR(IF(H135=ROUND(I135+SUM(K135:L135),0)," "," Стр. 382, Гр. 6 [H135]  д.б. = [Окр(I135+Сум(K135:L135),0)] {" &amp; ROUND(I135+SUM(K135:L135),0) &amp; "}.")," ")</f>
        <v xml:space="preserve">  </v>
      </c>
    </row>
    <row r="136" spans="1:13" ht="30" customHeight="1" x14ac:dyDescent="0.25">
      <c r="A136" s="2" t="s">
        <v>291</v>
      </c>
      <c r="B136" s="1" t="s">
        <v>682</v>
      </c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3" t="str">
        <f>IFERROR(IF(C136=ROUND(D136+SUM(F136:G136),0)," "," Стр. 383, Гр. 1 [C136]  д.б. = [Окр(D136+Сум(F136:G136),0)] {" &amp; ROUND(D136+SUM(F136:G136),0) &amp; "}.")," ") &amp; IFERROR(IF(H136=ROUND(I136+SUM(K136:L136),0)," "," Стр. 383, Гр. 6 [H136]  д.б. = [Окр(I136+Сум(K136:L136),0)] {" &amp; ROUND(I136+SUM(K136:L136),0) &amp; "}.")," ")</f>
        <v xml:space="preserve">  </v>
      </c>
    </row>
    <row r="137" spans="1:13" ht="30" customHeight="1" x14ac:dyDescent="0.25">
      <c r="A137" s="2" t="s">
        <v>293</v>
      </c>
      <c r="B137" s="1" t="s">
        <v>683</v>
      </c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3" t="str">
        <f>IFERROR(IF(C137=ROUND(D137+SUM(F137:G137),0)," "," Стр. 384, Гр. 1 [C137]  д.б. = [Окр(D137+Сум(F137:G137),0)] {" &amp; ROUND(D137+SUM(F137:G137),0) &amp; "}.")," ") &amp; IFERROR(IF(H137=ROUND(I137+SUM(K137:L137),0)," "," Стр. 384, Гр. 6 [H137]  д.б. = [Окр(I137+Сум(K137:L137),0)] {" &amp; ROUND(I137+SUM(K137:L137),0) &amp; "}.")," ")</f>
        <v xml:space="preserve">  </v>
      </c>
    </row>
    <row r="138" spans="1:13" ht="30" customHeight="1" x14ac:dyDescent="0.25">
      <c r="A138" s="2" t="s">
        <v>295</v>
      </c>
      <c r="B138" s="1" t="s">
        <v>684</v>
      </c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3" t="str">
        <f>IFERROR(IF(C138=ROUND(D138+SUM(F138:G138),0)," "," Стр. 385, Гр. 1 [C138]  д.б. = [Окр(D138+Сум(F138:G138),0)] {" &amp; ROUND(D138+SUM(F138:G138),0) &amp; "}.")," ") &amp; IFERROR(IF(H138=ROUND(I138+SUM(K138:L138),0)," "," Стр. 385, Гр. 6 [H138]  д.б. = [Окр(I138+Сум(K138:L138),0)] {" &amp; ROUND(I138+SUM(K138:L138),0) &amp; "}.")," ")</f>
        <v xml:space="preserve">  </v>
      </c>
    </row>
    <row r="139" spans="1:13" ht="30" customHeight="1" x14ac:dyDescent="0.25">
      <c r="A139" s="2" t="s">
        <v>297</v>
      </c>
      <c r="B139" s="1" t="s">
        <v>685</v>
      </c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3" t="str">
        <f>IFERROR(IF(C139=ROUND(D139+SUM(F139:G139),0)," "," Стр. 386, Гр. 1 [C139]  д.б. = [Окр(D139+Сум(F139:G139),0)] {" &amp; ROUND(D139+SUM(F139:G139),0) &amp; "}.")," ") &amp; IFERROR(IF(H139=ROUND(I139+SUM(K139:L139),0)," "," Стр. 386, Гр. 6 [H139]  д.б. = [Окр(I139+Сум(K139:L139),0)] {" &amp; ROUND(I139+SUM(K139:L139),0) &amp; "}.")," ")</f>
        <v xml:space="preserve">  </v>
      </c>
    </row>
    <row r="140" spans="1:13" ht="30" customHeight="1" x14ac:dyDescent="0.25">
      <c r="A140" s="2" t="s">
        <v>299</v>
      </c>
      <c r="B140" s="1" t="s">
        <v>686</v>
      </c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3" t="str">
        <f>IFERROR(IF(C140=ROUND(D140+SUM(F140:G140),0)," "," Стр. 387, Гр. 1 [C140]  д.б. = [Окр(D140+Сум(F140:G140),0)] {" &amp; ROUND(D140+SUM(F140:G140),0) &amp; "}.")," ") &amp; IFERROR(IF(H140=ROUND(I140+SUM(K140:L140),0)," "," Стр. 387, Гр. 6 [H140]  д.б. = [Окр(I140+Сум(K140:L140),0)] {" &amp; ROUND(I140+SUM(K140:L140),0) &amp; "}.")," ")</f>
        <v xml:space="preserve">  </v>
      </c>
    </row>
    <row r="141" spans="1:13" ht="30" customHeight="1" x14ac:dyDescent="0.25">
      <c r="A141" s="2" t="s">
        <v>301</v>
      </c>
      <c r="B141" s="1" t="s">
        <v>687</v>
      </c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3" t="str">
        <f>IFERROR(IF(C141=ROUND(D141+SUM(F141:G141),0)," "," Стр. 388, Гр. 1 [C141]  д.б. = [Окр(D141+Сум(F141:G141),0)] {" &amp; ROUND(D141+SUM(F141:G141),0) &amp; "}.")," ") &amp; IFERROR(IF(H141=ROUND(I141+SUM(K141:L141),0)," "," Стр. 388, Гр. 6 [H141]  д.б. = [Окр(I141+Сум(K141:L141),0)] {" &amp; ROUND(I141+SUM(K141:L141),0) &amp; "}.")," ")</f>
        <v xml:space="preserve">  </v>
      </c>
    </row>
    <row r="142" spans="1:13" ht="30" customHeight="1" x14ac:dyDescent="0.25">
      <c r="A142" s="2" t="s">
        <v>303</v>
      </c>
      <c r="B142" s="1" t="s">
        <v>688</v>
      </c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3" t="str">
        <f>IFERROR(IF(C142=ROUND(D142+SUM(F142:G142),0)," "," Стр. 389, Гр. 1 [C142]  д.б. = [Окр(D142+Сум(F142:G142),0)] {" &amp; ROUND(D142+SUM(F142:G142),0) &amp; "}.")," ") &amp; IFERROR(IF(H142=ROUND(I142+SUM(K142:L142),0)," "," Стр. 389, Гр. 6 [H142]  д.б. = [Окр(I142+Сум(K142:L142),0)] {" &amp; ROUND(I142+SUM(K142:L142),0) &amp; "}.")," ")</f>
        <v xml:space="preserve">  </v>
      </c>
    </row>
    <row r="143" spans="1:13" ht="30" customHeight="1" x14ac:dyDescent="0.25">
      <c r="A143" s="2" t="s">
        <v>305</v>
      </c>
      <c r="B143" s="1" t="s">
        <v>689</v>
      </c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3" t="str">
        <f>IFERROR(IF(C143=ROUND(D143+SUM(F143:G143),0)," "," Стр. 390, Гр. 1 [C143]  д.б. = [Окр(D143+Сум(F143:G143),0)] {" &amp; ROUND(D143+SUM(F143:G143),0) &amp; "}.")," ") &amp; IFERROR(IF(H143=ROUND(I143+SUM(K143:L143),0)," "," Стр. 390, Гр. 6 [H143]  д.б. = [Окр(I143+Сум(K143:L143),0)] {" &amp; ROUND(I143+SUM(K143:L143),0) &amp; "}.")," ")</f>
        <v xml:space="preserve">  </v>
      </c>
    </row>
    <row r="144" spans="1:13" ht="30" customHeight="1" x14ac:dyDescent="0.25">
      <c r="A144" s="2" t="s">
        <v>307</v>
      </c>
      <c r="B144" s="1" t="s">
        <v>690</v>
      </c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3" t="str">
        <f>IFERROR(IF(C144=ROUND(D144+SUM(F144:G144),0)," "," Стр. 391, Гр. 1 [C144]  д.б. = [Окр(D144+Сум(F144:G144),0)] {" &amp; ROUND(D144+SUM(F144:G144),0) &amp; "}.")," ") &amp; IFERROR(IF(H144=ROUND(I144+SUM(K144:L144),0)," "," Стр. 391, Гр. 6 [H144]  д.б. = [Окр(I144+Сум(K144:L144),0)] {" &amp; ROUND(I144+SUM(K144:L144),0) &amp; "}.")," ")</f>
        <v xml:space="preserve">  </v>
      </c>
    </row>
    <row r="145" spans="1:13" ht="30" customHeight="1" x14ac:dyDescent="0.25">
      <c r="A145" s="2" t="s">
        <v>309</v>
      </c>
      <c r="B145" s="1" t="s">
        <v>691</v>
      </c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3" t="str">
        <f>IFERROR(IF(C145=ROUND(D145+SUM(F145:G145),0)," "," Стр. 392, Гр. 1 [C145]  д.б. = [Окр(D145+Сум(F145:G145),0)] {" &amp; ROUND(D145+SUM(F145:G145),0) &amp; "}.")," ") &amp; IFERROR(IF(H145=ROUND(I145+SUM(K145:L145),0)," "," Стр. 392, Гр. 6 [H145]  д.б. = [Окр(I145+Сум(K145:L145),0)] {" &amp; ROUND(I145+SUM(K145:L145),0) &amp; "}.")," ")</f>
        <v xml:space="preserve">  </v>
      </c>
    </row>
    <row r="146" spans="1:13" ht="30" customHeight="1" x14ac:dyDescent="0.25">
      <c r="A146" s="2" t="s">
        <v>311</v>
      </c>
      <c r="B146" s="1" t="s">
        <v>692</v>
      </c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3" t="str">
        <f>IFERROR(IF(C146=ROUND(D146+SUM(F146:G146),0)," "," Стр. 393, Гр. 1 [C146]  д.б. = [Окр(D146+Сум(F146:G146),0)] {" &amp; ROUND(D146+SUM(F146:G146),0) &amp; "}.")," ") &amp; IFERROR(IF(H146=ROUND(I146+SUM(K146:L146),0)," "," Стр. 393, Гр. 6 [H146]  д.б. = [Окр(I146+Сум(K146:L146),0)] {" &amp; ROUND(I146+SUM(K146:L146),0) &amp; "}.")," ")</f>
        <v xml:space="preserve">  </v>
      </c>
    </row>
    <row r="147" spans="1:13" ht="30" customHeight="1" x14ac:dyDescent="0.25">
      <c r="A147" s="2" t="s">
        <v>313</v>
      </c>
      <c r="B147" s="1" t="s">
        <v>693</v>
      </c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3" t="str">
        <f>IFERROR(IF(C147=ROUND(D147+SUM(F147:G147),0)," "," Стр. 394, Гр. 1 [C147]  д.б. = [Окр(D147+Сум(F147:G147),0)] {" &amp; ROUND(D147+SUM(F147:G147),0) &amp; "}.")," ") &amp; IFERROR(IF(H147=ROUND(I147+SUM(K147:L147),0)," "," Стр. 394, Гр. 6 [H147]  д.б. = [Окр(I147+Сум(K147:L147),0)] {" &amp; ROUND(I147+SUM(K147:L147),0) &amp; "}.")," ")</f>
        <v xml:space="preserve">  </v>
      </c>
    </row>
    <row r="148" spans="1:13" ht="30" customHeight="1" x14ac:dyDescent="0.25">
      <c r="A148" s="2" t="s">
        <v>315</v>
      </c>
      <c r="B148" s="1" t="s">
        <v>694</v>
      </c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3" t="str">
        <f>IFERROR(IF(C148=ROUND(D148+SUM(F148:G148),0)," "," Стр. 395, Гр. 1 [C148]  д.б. = [Окр(D148+Сум(F148:G148),0)] {" &amp; ROUND(D148+SUM(F148:G148),0) &amp; "}.")," ") &amp; IFERROR(IF(H148=ROUND(I148+SUM(K148:L148),0)," "," Стр. 395, Гр. 6 [H148]  д.б. = [Окр(I148+Сум(K148:L148),0)] {" &amp; ROUND(I148+SUM(K148:L148),0) &amp; "}.")," ")</f>
        <v xml:space="preserve">  </v>
      </c>
    </row>
    <row r="149" spans="1:13" ht="30" customHeight="1" x14ac:dyDescent="0.25">
      <c r="A149" s="2" t="s">
        <v>317</v>
      </c>
      <c r="B149" s="1" t="s">
        <v>695</v>
      </c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3" t="str">
        <f>IFERROR(IF(C149=ROUND(D149+SUM(F149:G149),0)," "," Стр. 396, Гр. 1 [C149]  д.б. = [Окр(D149+Сум(F149:G149),0)] {" &amp; ROUND(D149+SUM(F149:G149),0) &amp; "}.")," ") &amp; IFERROR(IF(H149=ROUND(I149+SUM(K149:L149),0)," "," Стр. 396, Гр. 6 [H149]  д.б. = [Окр(I149+Сум(K149:L149),0)] {" &amp; ROUND(I149+SUM(K149:L149),0) &amp; "}.")," ")</f>
        <v xml:space="preserve">  </v>
      </c>
    </row>
    <row r="150" spans="1:13" ht="30" customHeight="1" x14ac:dyDescent="0.25">
      <c r="A150" s="2" t="s">
        <v>319</v>
      </c>
      <c r="B150" s="1" t="s">
        <v>696</v>
      </c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3" t="str">
        <f>IFERROR(IF(C150=ROUND(D150+SUM(F150:G150),0)," "," Стр. 397, Гр. 1 [C150]  д.б. = [Окр(D150+Сум(F150:G150),0)] {" &amp; ROUND(D150+SUM(F150:G150),0) &amp; "}.")," ") &amp; IFERROR(IF(H150=ROUND(I150+SUM(K150:L150),0)," "," Стр. 397, Гр. 6 [H150]  д.б. = [Окр(I150+Сум(K150:L150),0)] {" &amp; ROUND(I150+SUM(K150:L150),0) &amp; "}.")," ")</f>
        <v xml:space="preserve">  </v>
      </c>
    </row>
    <row r="151" spans="1:13" ht="30" customHeight="1" x14ac:dyDescent="0.25">
      <c r="A151" s="2" t="s">
        <v>321</v>
      </c>
      <c r="B151" s="1" t="s">
        <v>697</v>
      </c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3" t="str">
        <f>IFERROR(IF(C151=ROUND(D151+SUM(F151:G151),0)," "," Стр. 398, Гр. 1 [C151]  д.б. = [Окр(D151+Сум(F151:G151),0)] {" &amp; ROUND(D151+SUM(F151:G151),0) &amp; "}.")," ") &amp; IFERROR(IF(H151=ROUND(I151+SUM(K151:L151),0)," "," Стр. 398, Гр. 6 [H151]  д.б. = [Окр(I151+Сум(K151:L151),0)] {" &amp; ROUND(I151+SUM(K151:L151),0) &amp; "}.")," ")</f>
        <v xml:space="preserve">  </v>
      </c>
    </row>
    <row r="152" spans="1:13" ht="30" customHeight="1" x14ac:dyDescent="0.25">
      <c r="A152" s="2" t="s">
        <v>323</v>
      </c>
      <c r="B152" s="1" t="s">
        <v>698</v>
      </c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3" t="str">
        <f>IFERROR(IF(C152=ROUND(D152+SUM(F152:G152),0)," "," Стр. 399, Гр. 1 [C152]  д.б. = [Окр(D152+Сум(F152:G152),0)] {" &amp; ROUND(D152+SUM(F152:G152),0) &amp; "}.")," ") &amp; IFERROR(IF(H152=ROUND(I152+SUM(K152:L152),0)," "," Стр. 399, Гр. 6 [H152]  д.б. = [Окр(I152+Сум(K152:L152),0)] {" &amp; ROUND(I152+SUM(K152:L152),0) &amp; "}.")," ")</f>
        <v xml:space="preserve">  </v>
      </c>
    </row>
    <row r="153" spans="1:13" ht="30" customHeight="1" x14ac:dyDescent="0.25">
      <c r="A153" s="2" t="s">
        <v>325</v>
      </c>
      <c r="B153" s="1" t="s">
        <v>699</v>
      </c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3" t="str">
        <f>IFERROR(IF(C153=ROUND(D153+SUM(F153:G153),0)," "," Стр. 400, Гр. 1 [C153]  д.б. = [Окр(D153+Сум(F153:G153),0)] {" &amp; ROUND(D153+SUM(F153:G153),0) &amp; "}.")," ") &amp; IFERROR(IF(H153=ROUND(I153+SUM(K153:L153),0)," "," Стр. 400, Гр. 6 [H153]  д.б. = [Окр(I153+Сум(K153:L153),0)] {" &amp; ROUND(I153+SUM(K153:L153),0) &amp; "}.")," ")</f>
        <v xml:space="preserve">  </v>
      </c>
    </row>
    <row r="154" spans="1:13" ht="30" customHeight="1" x14ac:dyDescent="0.25">
      <c r="A154" s="2" t="s">
        <v>327</v>
      </c>
      <c r="B154" s="1" t="s">
        <v>700</v>
      </c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3" t="str">
        <f>IFERROR(IF(C154=ROUND(D154+SUM(F154:G154),0)," "," Стр. 401, Гр. 1 [C154]  д.б. = [Окр(D154+Сум(F154:G154),0)] {" &amp; ROUND(D154+SUM(F154:G154),0) &amp; "}.")," ") &amp; IFERROR(IF(H154=ROUND(I154+SUM(K154:L154),0)," "," Стр. 401, Гр. 6 [H154]  д.б. = [Окр(I154+Сум(K154:L154),0)] {" &amp; ROUND(I154+SUM(K154:L154),0) &amp; "}.")," ")</f>
        <v xml:space="preserve">  </v>
      </c>
    </row>
    <row r="155" spans="1:13" ht="30" customHeight="1" x14ac:dyDescent="0.25">
      <c r="A155" s="2" t="s">
        <v>329</v>
      </c>
      <c r="B155" s="1" t="s">
        <v>701</v>
      </c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3" t="str">
        <f>IFERROR(IF(C155=ROUND(D155+SUM(F155:G155),0)," "," Стр. 402, Гр. 1 [C155]  д.б. = [Окр(D155+Сум(F155:G155),0)] {" &amp; ROUND(D155+SUM(F155:G155),0) &amp; "}.")," ") &amp; IFERROR(IF(H155=ROUND(I155+SUM(K155:L155),0)," "," Стр. 402, Гр. 6 [H155]  д.б. = [Окр(I155+Сум(K155:L155),0)] {" &amp; ROUND(I155+SUM(K155:L155),0) &amp; "}.")," ")</f>
        <v xml:space="preserve">  </v>
      </c>
    </row>
    <row r="156" spans="1:13" ht="30" customHeight="1" x14ac:dyDescent="0.25">
      <c r="A156" s="2" t="s">
        <v>331</v>
      </c>
      <c r="B156" s="1" t="s">
        <v>702</v>
      </c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3" t="str">
        <f>IFERROR(IF(C156=ROUND(D156+SUM(F156:G156),0)," "," Стр. 403, Гр. 1 [C156]  д.б. = [Окр(D156+Сум(F156:G156),0)] {" &amp; ROUND(D156+SUM(F156:G156),0) &amp; "}.")," ") &amp; IFERROR(IF(H156=ROUND(I156+SUM(K156:L156),0)," "," Стр. 403, Гр. 6 [H156]  д.б. = [Окр(I156+Сум(K156:L156),0)] {" &amp; ROUND(I156+SUM(K156:L156),0) &amp; "}.")," ")</f>
        <v xml:space="preserve">  </v>
      </c>
    </row>
    <row r="157" spans="1:13" ht="30" customHeight="1" x14ac:dyDescent="0.25">
      <c r="A157" s="2" t="s">
        <v>333</v>
      </c>
      <c r="B157" s="1" t="s">
        <v>703</v>
      </c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3" t="str">
        <f>IFERROR(IF(C157=ROUND(D157+SUM(F157:G157),0)," "," Стр. 404, Гр. 1 [C157]  д.б. = [Окр(D157+Сум(F157:G157),0)] {" &amp; ROUND(D157+SUM(F157:G157),0) &amp; "}.")," ") &amp; IFERROR(IF(H157=ROUND(I157+SUM(K157:L157),0)," "," Стр. 404, Гр. 6 [H157]  д.б. = [Окр(I157+Сум(K157:L157),0)] {" &amp; ROUND(I157+SUM(K157:L157),0) &amp; "}.")," ")</f>
        <v xml:space="preserve">  </v>
      </c>
    </row>
    <row r="158" spans="1:13" ht="30" customHeight="1" x14ac:dyDescent="0.25">
      <c r="A158" s="2" t="s">
        <v>335</v>
      </c>
      <c r="B158" s="1" t="s">
        <v>704</v>
      </c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3" t="str">
        <f>IFERROR(IF(C158=ROUND(D158+SUM(F158:G158),0)," "," Стр. 405, Гр. 1 [C158]  д.б. = [Окр(D158+Сум(F158:G158),0)] {" &amp; ROUND(D158+SUM(F158:G158),0) &amp; "}.")," ") &amp; IFERROR(IF(H158=ROUND(I158+SUM(K158:L158),0)," "," Стр. 405, Гр. 6 [H158]  д.б. = [Окр(I158+Сум(K158:L158),0)] {" &amp; ROUND(I158+SUM(K158:L158),0) &amp; "}.")," ")</f>
        <v xml:space="preserve">  </v>
      </c>
    </row>
    <row r="159" spans="1:13" ht="30" customHeight="1" x14ac:dyDescent="0.25">
      <c r="A159" s="2" t="s">
        <v>337</v>
      </c>
      <c r="B159" s="1" t="s">
        <v>705</v>
      </c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3" t="str">
        <f>IFERROR(IF(C159=ROUND(D159+SUM(F159:G159),0)," "," Стр. 406, Гр. 1 [C159]  д.б. = [Окр(D159+Сум(F159:G159),0)] {" &amp; ROUND(D159+SUM(F159:G159),0) &amp; "}.")," ") &amp; IFERROR(IF(H159=ROUND(I159+SUM(K159:L159),0)," "," Стр. 406, Гр. 6 [H159]  д.б. = [Окр(I159+Сум(K159:L159),0)] {" &amp; ROUND(I159+SUM(K159:L159),0) &amp; "}.")," ")</f>
        <v xml:space="preserve">  </v>
      </c>
    </row>
    <row r="160" spans="1:13" ht="30" customHeight="1" x14ac:dyDescent="0.25">
      <c r="A160" s="2" t="s">
        <v>339</v>
      </c>
      <c r="B160" s="1" t="s">
        <v>706</v>
      </c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3" t="str">
        <f>IFERROR(IF(C160=ROUND(D160+SUM(F160:G160),0)," "," Стр. 407, Гр. 1 [C160]  д.б. = [Окр(D160+Сум(F160:G160),0)] {" &amp; ROUND(D160+SUM(F160:G160),0) &amp; "}.")," ") &amp; IFERROR(IF(H160=ROUND(I160+SUM(K160:L160),0)," "," Стр. 407, Гр. 6 [H160]  д.б. = [Окр(I160+Сум(K160:L160),0)] {" &amp; ROUND(I160+SUM(K160:L160),0) &amp; "}.")," ")</f>
        <v xml:space="preserve">  </v>
      </c>
    </row>
    <row r="161" spans="1:13" ht="30" customHeight="1" x14ac:dyDescent="0.25">
      <c r="A161" s="2" t="s">
        <v>341</v>
      </c>
      <c r="B161" s="1" t="s">
        <v>707</v>
      </c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3" t="str">
        <f>IFERROR(IF(C161=ROUND(D161+SUM(F161:G161),0)," "," Стр. 408, Гр. 1 [C161]  д.б. = [Окр(D161+Сум(F161:G161),0)] {" &amp; ROUND(D161+SUM(F161:G161),0) &amp; "}.")," ") &amp; IFERROR(IF(H161=ROUND(I161+SUM(K161:L161),0)," "," Стр. 408, Гр. 6 [H161]  д.б. = [Окр(I161+Сум(K161:L161),0)] {" &amp; ROUND(I161+SUM(K161:L161),0) &amp; "}.")," ")</f>
        <v xml:space="preserve">  </v>
      </c>
    </row>
    <row r="162" spans="1:13" ht="30" customHeight="1" x14ac:dyDescent="0.25">
      <c r="A162" s="2" t="s">
        <v>343</v>
      </c>
      <c r="B162" s="1" t="s">
        <v>708</v>
      </c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3" t="str">
        <f>IFERROR(IF(C162=ROUND(D162+SUM(F162:G162),0)," "," Стр. 409, Гр. 1 [C162]  д.б. = [Окр(D162+Сум(F162:G162),0)] {" &amp; ROUND(D162+SUM(F162:G162),0) &amp; "}.")," ") &amp; IFERROR(IF(H162=ROUND(I162+SUM(K162:L162),0)," "," Стр. 409, Гр. 6 [H162]  д.б. = [Окр(I162+Сум(K162:L162),0)] {" &amp; ROUND(I162+SUM(K162:L162),0) &amp; "}.")," ")</f>
        <v xml:space="preserve">  </v>
      </c>
    </row>
    <row r="163" spans="1:13" ht="30" customHeight="1" x14ac:dyDescent="0.25">
      <c r="A163" s="2" t="s">
        <v>345</v>
      </c>
      <c r="B163" s="1" t="s">
        <v>709</v>
      </c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3" t="str">
        <f>IFERROR(IF(C163=ROUND(D163+SUM(F163:G163),0)," "," Стр. 410, Гр. 1 [C163]  д.б. = [Окр(D163+Сум(F163:G163),0)] {" &amp; ROUND(D163+SUM(F163:G163),0) &amp; "}.")," ") &amp; IFERROR(IF(H163=ROUND(I163+SUM(K163:L163),0)," "," Стр. 410, Гр. 6 [H163]  д.б. = [Окр(I163+Сум(K163:L163),0)] {" &amp; ROUND(I163+SUM(K163:L163),0) &amp; "}.")," ")</f>
        <v xml:space="preserve">  </v>
      </c>
    </row>
    <row r="164" spans="1:13" ht="30" customHeight="1" x14ac:dyDescent="0.25">
      <c r="A164" s="2" t="s">
        <v>347</v>
      </c>
      <c r="B164" s="1" t="s">
        <v>710</v>
      </c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3" t="str">
        <f>IFERROR(IF(C164=ROUND(D164+SUM(F164:G164),0)," "," Стр. 411, Гр. 1 [C164]  д.б. = [Окр(D164+Сум(F164:G164),0)] {" &amp; ROUND(D164+SUM(F164:G164),0) &amp; "}.")," ") &amp; IFERROR(IF(H164=ROUND(I164+SUM(K164:L164),0)," "," Стр. 411, Гр. 6 [H164]  д.б. = [Окр(I164+Сум(K164:L164),0)] {" &amp; ROUND(I164+SUM(K164:L164),0) &amp; "}.")," ")</f>
        <v xml:space="preserve">  </v>
      </c>
    </row>
    <row r="165" spans="1:13" ht="30" customHeight="1" x14ac:dyDescent="0.25">
      <c r="A165" s="2" t="s">
        <v>349</v>
      </c>
      <c r="B165" s="1" t="s">
        <v>711</v>
      </c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3" t="str">
        <f>IFERROR(IF(C165=ROUND(D165+SUM(F165:G165),0)," "," Стр. 412, Гр. 1 [C165]  д.б. = [Окр(D165+Сум(F165:G165),0)] {" &amp; ROUND(D165+SUM(F165:G165),0) &amp; "}.")," ") &amp; IFERROR(IF(H165=ROUND(I165+SUM(K165:L165),0)," "," Стр. 412, Гр. 6 [H165]  д.б. = [Окр(I165+Сум(K165:L165),0)] {" &amp; ROUND(I165+SUM(K165:L165),0) &amp; "}.")," ")</f>
        <v xml:space="preserve">  </v>
      </c>
    </row>
    <row r="166" spans="1:13" ht="30" customHeight="1" x14ac:dyDescent="0.25">
      <c r="A166" s="2" t="s">
        <v>351</v>
      </c>
      <c r="B166" s="1" t="s">
        <v>712</v>
      </c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3" t="str">
        <f>IFERROR(IF(C166=ROUND(D166+SUM(F166:G166),0)," "," Стр. 413, Гр. 1 [C166]  д.б. = [Окр(D166+Сум(F166:G166),0)] {" &amp; ROUND(D166+SUM(F166:G166),0) &amp; "}.")," ") &amp; IFERROR(IF(H166=ROUND(I166+SUM(K166:L166),0)," "," Стр. 413, Гр. 6 [H166]  д.б. = [Окр(I166+Сум(K166:L166),0)] {" &amp; ROUND(I166+SUM(K166:L166),0) &amp; "}.")," ")</f>
        <v xml:space="preserve">  </v>
      </c>
    </row>
    <row r="167" spans="1:13" ht="30" customHeight="1" x14ac:dyDescent="0.25">
      <c r="A167" s="2" t="s">
        <v>353</v>
      </c>
      <c r="B167" s="1" t="s">
        <v>713</v>
      </c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3" t="str">
        <f>IFERROR(IF(C167=ROUND(D167+SUM(F167:G167),0)," "," Стр. 414, Гр. 1 [C167]  д.б. = [Окр(D167+Сум(F167:G167),0)] {" &amp; ROUND(D167+SUM(F167:G167),0) &amp; "}.")," ") &amp; IFERROR(IF(H167=ROUND(I167+SUM(K167:L167),0)," "," Стр. 414, Гр. 6 [H167]  д.б. = [Окр(I167+Сум(K167:L167),0)] {" &amp; ROUND(I167+SUM(K167:L167),0) &amp; "}.")," ")</f>
        <v xml:space="preserve">  </v>
      </c>
    </row>
    <row r="168" spans="1:13" ht="30" customHeight="1" x14ac:dyDescent="0.25">
      <c r="A168" s="2" t="s">
        <v>355</v>
      </c>
      <c r="B168" s="1" t="s">
        <v>714</v>
      </c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3" t="str">
        <f>IFERROR(IF(C168=ROUND(D168+SUM(F168:G168),0)," "," Стр. 415, Гр. 1 [C168]  д.б. = [Окр(D168+Сум(F168:G168),0)] {" &amp; ROUND(D168+SUM(F168:G168),0) &amp; "}.")," ") &amp; IFERROR(IF(H168=ROUND(I168+SUM(K168:L168),0)," "," Стр. 415, Гр. 6 [H168]  д.б. = [Окр(I168+Сум(K168:L168),0)] {" &amp; ROUND(I168+SUM(K168:L168),0) &amp; "}.")," ")</f>
        <v xml:space="preserve">  </v>
      </c>
    </row>
    <row r="169" spans="1:13" ht="30" customHeight="1" x14ac:dyDescent="0.25">
      <c r="A169" s="2" t="s">
        <v>357</v>
      </c>
      <c r="B169" s="1" t="s">
        <v>715</v>
      </c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3" t="str">
        <f>IFERROR(IF(C169=ROUND(D169+SUM(F169:G169),0)," "," Стр. 416, Гр. 1 [C169]  д.б. = [Окр(D169+Сум(F169:G169),0)] {" &amp; ROUND(D169+SUM(F169:G169),0) &amp; "}.")," ") &amp; IFERROR(IF(H169=ROUND(I169+SUM(K169:L169),0)," "," Стр. 416, Гр. 6 [H169]  д.б. = [Окр(I169+Сум(K169:L169),0)] {" &amp; ROUND(I169+SUM(K169:L169),0) &amp; "}.")," ")</f>
        <v xml:space="preserve">  </v>
      </c>
    </row>
    <row r="170" spans="1:13" ht="30" customHeight="1" x14ac:dyDescent="0.25">
      <c r="A170" s="2" t="s">
        <v>359</v>
      </c>
      <c r="B170" s="1" t="s">
        <v>716</v>
      </c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3" t="str">
        <f>IFERROR(IF(C170=ROUND(D170+SUM(F170:G170),0)," "," Стр. 417, Гр. 1 [C170]  д.б. = [Окр(D170+Сум(F170:G170),0)] {" &amp; ROUND(D170+SUM(F170:G170),0) &amp; "}.")," ") &amp; IFERROR(IF(H170=ROUND(I170+SUM(K170:L170),0)," "," Стр. 417, Гр. 6 [H170]  д.б. = [Окр(I170+Сум(K170:L170),0)] {" &amp; ROUND(I170+SUM(K170:L170),0) &amp; "}.")," ")</f>
        <v xml:space="preserve">  </v>
      </c>
    </row>
    <row r="171" spans="1:13" ht="30" customHeight="1" x14ac:dyDescent="0.25">
      <c r="A171" s="2" t="s">
        <v>361</v>
      </c>
      <c r="B171" s="1" t="s">
        <v>717</v>
      </c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3" t="str">
        <f>IFERROR(IF(C171=ROUND(D171+SUM(F171:G171),0)," "," Стр. 418, Гр. 1 [C171]  д.б. = [Окр(D171+Сум(F171:G171),0)] {" &amp; ROUND(D171+SUM(F171:G171),0) &amp; "}.")," ") &amp; IFERROR(IF(H171=ROUND(I171+SUM(K171:L171),0)," "," Стр. 418, Гр. 6 [H171]  д.б. = [Окр(I171+Сум(K171:L171),0)] {" &amp; ROUND(I171+SUM(K171:L171),0) &amp; "}.")," ")</f>
        <v xml:space="preserve">  </v>
      </c>
    </row>
    <row r="172" spans="1:13" ht="30" customHeight="1" x14ac:dyDescent="0.25">
      <c r="A172" s="2" t="s">
        <v>363</v>
      </c>
      <c r="B172" s="1" t="s">
        <v>718</v>
      </c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3" t="str">
        <f>IFERROR(IF(C172=ROUND(D172+SUM(F172:G172),0)," "," Стр. 419, Гр. 1 [C172]  д.б. = [Окр(D172+Сум(F172:G172),0)] {" &amp; ROUND(D172+SUM(F172:G172),0) &amp; "}.")," ") &amp; IFERROR(IF(H172=ROUND(I172+SUM(K172:L172),0)," "," Стр. 419, Гр. 6 [H172]  д.б. = [Окр(I172+Сум(K172:L172),0)] {" &amp; ROUND(I172+SUM(K172:L172),0) &amp; "}.")," ")</f>
        <v xml:space="preserve">  </v>
      </c>
    </row>
    <row r="173" spans="1:13" ht="30" customHeight="1" x14ac:dyDescent="0.25">
      <c r="A173" s="2" t="s">
        <v>365</v>
      </c>
      <c r="B173" s="1" t="s">
        <v>719</v>
      </c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3" t="str">
        <f>IFERROR(IF(C173=ROUND(D173+SUM(F173:G173),0)," "," Стр. 420, Гр. 1 [C173]  д.б. = [Окр(D173+Сум(F173:G173),0)] {" &amp; ROUND(D173+SUM(F173:G173),0) &amp; "}.")," ") &amp; IFERROR(IF(H173=ROUND(I173+SUM(K173:L173),0)," "," Стр. 420, Гр. 6 [H173]  д.б. = [Окр(I173+Сум(K173:L173),0)] {" &amp; ROUND(I173+SUM(K173:L173),0) &amp; "}.")," ")</f>
        <v xml:space="preserve">  </v>
      </c>
    </row>
    <row r="174" spans="1:13" ht="30" customHeight="1" x14ac:dyDescent="0.25">
      <c r="A174" s="2" t="s">
        <v>367</v>
      </c>
      <c r="B174" s="1" t="s">
        <v>720</v>
      </c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3" t="str">
        <f>IFERROR(IF(C174=ROUND(D174+SUM(F174:G174),0)," "," Стр. 421, Гр. 1 [C174]  д.б. = [Окр(D174+Сум(F174:G174),0)] {" &amp; ROUND(D174+SUM(F174:G174),0) &amp; "}.")," ") &amp; IFERROR(IF(H174=ROUND(I174+SUM(K174:L174),0)," "," Стр. 421, Гр. 6 [H174]  д.б. = [Окр(I174+Сум(K174:L174),0)] {" &amp; ROUND(I174+SUM(K174:L174),0) &amp; "}.")," ")</f>
        <v xml:space="preserve">  </v>
      </c>
    </row>
    <row r="175" spans="1:13" ht="30" customHeight="1" x14ac:dyDescent="0.25">
      <c r="A175" s="2" t="s">
        <v>369</v>
      </c>
      <c r="B175" s="1" t="s">
        <v>721</v>
      </c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3" t="str">
        <f>IFERROR(IF(C175=ROUND(D175+SUM(F175:G175),0)," "," Стр. 422, Гр. 1 [C175]  д.б. = [Окр(D175+Сум(F175:G175),0)] {" &amp; ROUND(D175+SUM(F175:G175),0) &amp; "}.")," ") &amp; IFERROR(IF(H175=ROUND(I175+SUM(K175:L175),0)," "," Стр. 422, Гр. 6 [H175]  д.б. = [Окр(I175+Сум(K175:L175),0)] {" &amp; ROUND(I175+SUM(K175:L175),0) &amp; "}.")," ")</f>
        <v xml:space="preserve">  </v>
      </c>
    </row>
    <row r="176" spans="1:13" ht="30" customHeight="1" x14ac:dyDescent="0.25">
      <c r="A176" s="2" t="s">
        <v>371</v>
      </c>
      <c r="B176" s="1" t="s">
        <v>722</v>
      </c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3" t="str">
        <f>IFERROR(IF(C176=ROUND(D176+SUM(F176:G176),0)," "," Стр. 423, Гр. 1 [C176]  д.б. = [Окр(D176+Сум(F176:G176),0)] {" &amp; ROUND(D176+SUM(F176:G176),0) &amp; "}.")," ") &amp; IFERROR(IF(H176=ROUND(I176+SUM(K176:L176),0)," "," Стр. 423, Гр. 6 [H176]  д.б. = [Окр(I176+Сум(K176:L176),0)] {" &amp; ROUND(I176+SUM(K176:L176),0) &amp; "}.")," ")</f>
        <v xml:space="preserve">  </v>
      </c>
    </row>
    <row r="177" spans="1:13" ht="30" customHeight="1" x14ac:dyDescent="0.25">
      <c r="A177" s="2" t="s">
        <v>373</v>
      </c>
      <c r="B177" s="1" t="s">
        <v>723</v>
      </c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3" t="str">
        <f>IFERROR(IF(C177=ROUND(D177+SUM(F177:G177),0)," "," Стр. 424, Гр. 1 [C177]  д.б. = [Окр(D177+Сум(F177:G177),0)] {" &amp; ROUND(D177+SUM(F177:G177),0) &amp; "}.")," ") &amp; IFERROR(IF(H177=ROUND(I177+SUM(K177:L177),0)," "," Стр. 424, Гр. 6 [H177]  д.б. = [Окр(I177+Сум(K177:L177),0)] {" &amp; ROUND(I177+SUM(K177:L177),0) &amp; "}.")," ")</f>
        <v xml:space="preserve">  </v>
      </c>
    </row>
    <row r="178" spans="1:13" ht="30" customHeight="1" x14ac:dyDescent="0.25">
      <c r="A178" s="2" t="s">
        <v>375</v>
      </c>
      <c r="B178" s="1" t="s">
        <v>724</v>
      </c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3" t="str">
        <f>IFERROR(IF(C178=ROUND(D178+SUM(F178:G178),0)," "," Стр. 425, Гр. 1 [C178]  д.б. = [Окр(D178+Сум(F178:G178),0)] {" &amp; ROUND(D178+SUM(F178:G178),0) &amp; "}.")," ") &amp; IFERROR(IF(H178=ROUND(I178+SUM(K178:L178),0)," "," Стр. 425, Гр. 6 [H178]  д.б. = [Окр(I178+Сум(K178:L178),0)] {" &amp; ROUND(I178+SUM(K178:L178),0) &amp; "}.")," ")</f>
        <v xml:space="preserve">  </v>
      </c>
    </row>
    <row r="179" spans="1:13" ht="30" customHeight="1" x14ac:dyDescent="0.25">
      <c r="A179" s="2" t="s">
        <v>377</v>
      </c>
      <c r="B179" s="1" t="s">
        <v>725</v>
      </c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3" t="str">
        <f>IFERROR(IF(C179=ROUND(D179+SUM(F179:G179),0)," "," Стр. 426, Гр. 1 [C179]  д.б. = [Окр(D179+Сум(F179:G179),0)] {" &amp; ROUND(D179+SUM(F179:G179),0) &amp; "}.")," ") &amp; IFERROR(IF(H179=ROUND(I179+SUM(K179:L179),0)," "," Стр. 426, Гр. 6 [H179]  д.б. = [Окр(I179+Сум(K179:L179),0)] {" &amp; ROUND(I179+SUM(K179:L179),0) &amp; "}.")," ")</f>
        <v xml:space="preserve">  </v>
      </c>
    </row>
    <row r="180" spans="1:13" ht="30" customHeight="1" x14ac:dyDescent="0.25">
      <c r="A180" s="2" t="s">
        <v>379</v>
      </c>
      <c r="B180" s="1" t="s">
        <v>726</v>
      </c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3" t="str">
        <f>IFERROR(IF(C180=ROUND(D180+SUM(F180:G180),0)," "," Стр. 427, Гр. 1 [C180]  д.б. = [Окр(D180+Сум(F180:G180),0)] {" &amp; ROUND(D180+SUM(F180:G180),0) &amp; "}.")," ") &amp; IFERROR(IF(H180=ROUND(I180+SUM(K180:L180),0)," "," Стр. 427, Гр. 6 [H180]  д.б. = [Окр(I180+Сум(K180:L180),0)] {" &amp; ROUND(I180+SUM(K180:L180),0) &amp; "}.")," ")</f>
        <v xml:space="preserve">  </v>
      </c>
    </row>
    <row r="181" spans="1:13" ht="30" customHeight="1" x14ac:dyDescent="0.25">
      <c r="A181" s="2" t="s">
        <v>381</v>
      </c>
      <c r="B181" s="1" t="s">
        <v>727</v>
      </c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3" t="str">
        <f>IFERROR(IF(C181=ROUND(D181+SUM(F181:G181),0)," "," Стр. 428, Гр. 1 [C181]  д.б. = [Окр(D181+Сум(F181:G181),0)] {" &amp; ROUND(D181+SUM(F181:G181),0) &amp; "}.")," ") &amp; IFERROR(IF(H181=ROUND(I181+SUM(K181:L181),0)," "," Стр. 428, Гр. 6 [H181]  д.б. = [Окр(I181+Сум(K181:L181),0)] {" &amp; ROUND(I181+SUM(K181:L181),0) &amp; "}.")," ")</f>
        <v xml:space="preserve">  </v>
      </c>
    </row>
    <row r="182" spans="1:13" ht="30" customHeight="1" x14ac:dyDescent="0.25">
      <c r="A182" s="2" t="s">
        <v>383</v>
      </c>
      <c r="B182" s="1" t="s">
        <v>728</v>
      </c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3" t="str">
        <f>IFERROR(IF(C182=ROUND(D182+SUM(F182:G182),0)," "," Стр. 429, Гр. 1 [C182]  д.б. = [Окр(D182+Сум(F182:G182),0)] {" &amp; ROUND(D182+SUM(F182:G182),0) &amp; "}.")," ") &amp; IFERROR(IF(H182=ROUND(I182+SUM(K182:L182),0)," "," Стр. 429, Гр. 6 [H182]  д.б. = [Окр(I182+Сум(K182:L182),0)] {" &amp; ROUND(I182+SUM(K182:L182),0) &amp; "}.")," ")</f>
        <v xml:space="preserve">  </v>
      </c>
    </row>
    <row r="183" spans="1:13" ht="30" customHeight="1" x14ac:dyDescent="0.25">
      <c r="A183" s="2" t="s">
        <v>385</v>
      </c>
      <c r="B183" s="1" t="s">
        <v>729</v>
      </c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3" t="str">
        <f>IFERROR(IF(C183=ROUND(D183+SUM(F183:G183),0)," "," Стр. 430, Гр. 1 [C183]  д.б. = [Окр(D183+Сум(F183:G183),0)] {" &amp; ROUND(D183+SUM(F183:G183),0) &amp; "}.")," ") &amp; IFERROR(IF(H183=ROUND(I183+SUM(K183:L183),0)," "," Стр. 430, Гр. 6 [H183]  д.б. = [Окр(I183+Сум(K183:L183),0)] {" &amp; ROUND(I183+SUM(K183:L183),0) &amp; "}.")," ")</f>
        <v xml:space="preserve">  </v>
      </c>
    </row>
    <row r="184" spans="1:13" ht="30" customHeight="1" x14ac:dyDescent="0.25">
      <c r="A184" s="2" t="s">
        <v>387</v>
      </c>
      <c r="B184" s="1" t="s">
        <v>730</v>
      </c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3" t="str">
        <f>IFERROR(IF(C184=ROUND(D184+SUM(F184:G184),0)," "," Стр. 431, Гр. 1 [C184]  д.б. = [Окр(D184+Сум(F184:G184),0)] {" &amp; ROUND(D184+SUM(F184:G184),0) &amp; "}.")," ") &amp; IFERROR(IF(H184=ROUND(I184+SUM(K184:L184),0)," "," Стр. 431, Гр. 6 [H184]  д.б. = [Окр(I184+Сум(K184:L184),0)] {" &amp; ROUND(I184+SUM(K184:L184),0) &amp; "}.")," ")</f>
        <v xml:space="preserve">  </v>
      </c>
    </row>
    <row r="185" spans="1:13" ht="30" customHeight="1" x14ac:dyDescent="0.25">
      <c r="A185" s="2" t="s">
        <v>389</v>
      </c>
      <c r="B185" s="1" t="s">
        <v>731</v>
      </c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3" t="str">
        <f>IFERROR(IF(C185=ROUND(D185+SUM(F185:G185),0)," "," Стр. 432, Гр. 1 [C185]  д.б. = [Окр(D185+Сум(F185:G185),0)] {" &amp; ROUND(D185+SUM(F185:G185),0) &amp; "}.")," ") &amp; IFERROR(IF(H185=ROUND(I185+SUM(K185:L185),0)," "," Стр. 432, Гр. 6 [H185]  д.б. = [Окр(I185+Сум(K185:L185),0)] {" &amp; ROUND(I185+SUM(K185:L185),0) &amp; "}.")," ")</f>
        <v xml:space="preserve">  </v>
      </c>
    </row>
    <row r="186" spans="1:13" ht="30" customHeight="1" x14ac:dyDescent="0.25">
      <c r="A186" s="2" t="s">
        <v>391</v>
      </c>
      <c r="B186" s="1" t="s">
        <v>732</v>
      </c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3" t="str">
        <f>IFERROR(IF(C186=ROUND(D186+SUM(F186:G186),0)," "," Стр. 433, Гр. 1 [C186]  д.б. = [Окр(D186+Сум(F186:G186),0)] {" &amp; ROUND(D186+SUM(F186:G186),0) &amp; "}.")," ") &amp; IFERROR(IF(H186=ROUND(I186+SUM(K186:L186),0)," "," Стр. 433, Гр. 6 [H186]  д.б. = [Окр(I186+Сум(K186:L186),0)] {" &amp; ROUND(I186+SUM(K186:L186),0) &amp; "}.")," ")</f>
        <v xml:space="preserve">  </v>
      </c>
    </row>
    <row r="187" spans="1:13" ht="30" customHeight="1" x14ac:dyDescent="0.25">
      <c r="A187" s="2" t="s">
        <v>393</v>
      </c>
      <c r="B187" s="1" t="s">
        <v>733</v>
      </c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3" t="str">
        <f>IFERROR(IF(C187=ROUND(D187+SUM(F187:G187),0)," "," Стр. 434, Гр. 1 [C187]  д.б. = [Окр(D187+Сум(F187:G187),0)] {" &amp; ROUND(D187+SUM(F187:G187),0) &amp; "}.")," ") &amp; IFERROR(IF(H187=ROUND(I187+SUM(K187:L187),0)," "," Стр. 434, Гр. 6 [H187]  д.б. = [Окр(I187+Сум(K187:L187),0)] {" &amp; ROUND(I187+SUM(K187:L187),0) &amp; "}.")," ")</f>
        <v xml:space="preserve">  </v>
      </c>
    </row>
    <row r="188" spans="1:13" ht="30" customHeight="1" x14ac:dyDescent="0.25">
      <c r="A188" s="2" t="s">
        <v>395</v>
      </c>
      <c r="B188" s="1" t="s">
        <v>734</v>
      </c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3" t="str">
        <f>IFERROR(IF(C188=ROUND(D188+SUM(F188:G188),0)," "," Стр. 435, Гр. 1 [C188]  д.б. = [Окр(D188+Сум(F188:G188),0)] {" &amp; ROUND(D188+SUM(F188:G188),0) &amp; "}.")," ") &amp; IFERROR(IF(H188=ROUND(I188+SUM(K188:L188),0)," "," Стр. 435, Гр. 6 [H188]  д.б. = [Окр(I188+Сум(K188:L188),0)] {" &amp; ROUND(I188+SUM(K188:L188),0) &amp; "}.")," ")</f>
        <v xml:space="preserve">  </v>
      </c>
    </row>
    <row r="189" spans="1:13" ht="30" customHeight="1" x14ac:dyDescent="0.25">
      <c r="A189" s="2" t="s">
        <v>397</v>
      </c>
      <c r="B189" s="1" t="s">
        <v>735</v>
      </c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3" t="str">
        <f>IFERROR(IF(C189=ROUND(D189+SUM(F189:G189),0)," "," Стр. 436, Гр. 1 [C189]  д.б. = [Окр(D189+Сум(F189:G189),0)] {" &amp; ROUND(D189+SUM(F189:G189),0) &amp; "}.")," ") &amp; IFERROR(IF(H189=ROUND(I189+SUM(K189:L189),0)," "," Стр. 436, Гр. 6 [H189]  д.б. = [Окр(I189+Сум(K189:L189),0)] {" &amp; ROUND(I189+SUM(K189:L189),0) &amp; "}.")," ")</f>
        <v xml:space="preserve">  </v>
      </c>
    </row>
    <row r="190" spans="1:13" ht="30" customHeight="1" x14ac:dyDescent="0.25">
      <c r="A190" s="2" t="s">
        <v>399</v>
      </c>
      <c r="B190" s="1" t="s">
        <v>736</v>
      </c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3" t="str">
        <f>IFERROR(IF(C190=ROUND(D190+SUM(F190:G190),0)," "," Стр. 437, Гр. 1 [C190]  д.б. = [Окр(D190+Сум(F190:G190),0)] {" &amp; ROUND(D190+SUM(F190:G190),0) &amp; "}.")," ") &amp; IFERROR(IF(H190=ROUND(I190+SUM(K190:L190),0)," "," Стр. 437, Гр. 6 [H190]  д.б. = [Окр(I190+Сум(K190:L190),0)] {" &amp; ROUND(I190+SUM(K190:L190),0) &amp; "}.")," ")</f>
        <v xml:space="preserve">  </v>
      </c>
    </row>
    <row r="191" spans="1:13" ht="30" customHeight="1" x14ac:dyDescent="0.25">
      <c r="A191" s="2" t="s">
        <v>401</v>
      </c>
      <c r="B191" s="1" t="s">
        <v>737</v>
      </c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3" t="str">
        <f>IFERROR(IF(C191=ROUND(D191+SUM(F191:G191),0)," "," Стр. 438, Гр. 1 [C191]  д.б. = [Окр(D191+Сум(F191:G191),0)] {" &amp; ROUND(D191+SUM(F191:G191),0) &amp; "}.")," ") &amp; IFERROR(IF(H191=ROUND(I191+SUM(K191:L191),0)," "," Стр. 438, Гр. 6 [H191]  д.б. = [Окр(I191+Сум(K191:L191),0)] {" &amp; ROUND(I191+SUM(K191:L191),0) &amp; "}.")," ")</f>
        <v xml:space="preserve">  </v>
      </c>
    </row>
    <row r="192" spans="1:13" ht="30" customHeight="1" x14ac:dyDescent="0.25">
      <c r="A192" s="2" t="s">
        <v>403</v>
      </c>
      <c r="B192" s="1" t="s">
        <v>738</v>
      </c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3" t="str">
        <f>IFERROR(IF(C192=ROUND(D192+SUM(F192:G192),0)," "," Стр. 439, Гр. 1 [C192]  д.б. = [Окр(D192+Сум(F192:G192),0)] {" &amp; ROUND(D192+SUM(F192:G192),0) &amp; "}.")," ") &amp; IFERROR(IF(H192=ROUND(I192+SUM(K192:L192),0)," "," Стр. 439, Гр. 6 [H192]  д.б. = [Окр(I192+Сум(K192:L192),0)] {" &amp; ROUND(I192+SUM(K192:L192),0) &amp; "}.")," ")</f>
        <v xml:space="preserve">  </v>
      </c>
    </row>
    <row r="193" spans="1:13" ht="30" customHeight="1" x14ac:dyDescent="0.25">
      <c r="A193" s="2" t="s">
        <v>405</v>
      </c>
      <c r="B193" s="1" t="s">
        <v>739</v>
      </c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3" t="str">
        <f>IFERROR(IF(C193=ROUND(D193+SUM(F193:G193),0)," "," Стр. 440, Гр. 1 [C193]  д.б. = [Окр(D193+Сум(F193:G193),0)] {" &amp; ROUND(D193+SUM(F193:G193),0) &amp; "}.")," ") &amp; IFERROR(IF(H193=ROUND(I193+SUM(K193:L193),0)," "," Стр. 440, Гр. 6 [H193]  д.б. = [Окр(I193+Сум(K193:L193),0)] {" &amp; ROUND(I193+SUM(K193:L193),0) &amp; "}.")," ")</f>
        <v xml:space="preserve">  </v>
      </c>
    </row>
    <row r="194" spans="1:13" ht="30" customHeight="1" x14ac:dyDescent="0.25">
      <c r="A194" s="2" t="s">
        <v>407</v>
      </c>
      <c r="B194" s="1" t="s">
        <v>740</v>
      </c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3" t="str">
        <f>IFERROR(IF(C194=ROUND(D194+SUM(F194:G194),0)," "," Стр. 441, Гр. 1 [C194]  д.б. = [Окр(D194+Сум(F194:G194),0)] {" &amp; ROUND(D194+SUM(F194:G194),0) &amp; "}.")," ") &amp; IFERROR(IF(H194=ROUND(I194+SUM(K194:L194),0)," "," Стр. 441, Гр. 6 [H194]  д.б. = [Окр(I194+Сум(K194:L194),0)] {" &amp; ROUND(I194+SUM(K194:L194),0) &amp; "}.")," ")</f>
        <v xml:space="preserve">  </v>
      </c>
    </row>
    <row r="195" spans="1:13" ht="30" customHeight="1" x14ac:dyDescent="0.25">
      <c r="A195" s="2" t="s">
        <v>409</v>
      </c>
      <c r="B195" s="1" t="s">
        <v>741</v>
      </c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3" t="str">
        <f>IFERROR(IF(C195=ROUND(D195+SUM(F195:G195),0)," "," Стр. 442, Гр. 1 [C195]  д.б. = [Окр(D195+Сум(F195:G195),0)] {" &amp; ROUND(D195+SUM(F195:G195),0) &amp; "}.")," ") &amp; IFERROR(IF(H195=ROUND(I195+SUM(K195:L195),0)," "," Стр. 442, Гр. 6 [H195]  д.б. = [Окр(I195+Сум(K195:L195),0)] {" &amp; ROUND(I195+SUM(K195:L195),0) &amp; "}.")," ")</f>
        <v xml:space="preserve">  </v>
      </c>
    </row>
    <row r="196" spans="1:13" ht="30" customHeight="1" x14ac:dyDescent="0.25">
      <c r="A196" s="2" t="s">
        <v>411</v>
      </c>
      <c r="B196" s="1" t="s">
        <v>742</v>
      </c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3" t="str">
        <f>IFERROR(IF(C196=ROUND(D196+SUM(F196:G196),0)," "," Стр. 443, Гр. 1 [C196]  д.б. = [Окр(D196+Сум(F196:G196),0)] {" &amp; ROUND(D196+SUM(F196:G196),0) &amp; "}.")," ") &amp; IFERROR(IF(H196=ROUND(I196+SUM(K196:L196),0)," "," Стр. 443, Гр. 6 [H196]  д.б. = [Окр(I196+Сум(K196:L196),0)] {" &amp; ROUND(I196+SUM(K196:L196),0) &amp; "}.")," ")</f>
        <v xml:space="preserve">  </v>
      </c>
    </row>
    <row r="197" spans="1:13" ht="30" customHeight="1" x14ac:dyDescent="0.25">
      <c r="A197" s="2" t="s">
        <v>413</v>
      </c>
      <c r="B197" s="1" t="s">
        <v>743</v>
      </c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3" t="str">
        <f>IFERROR(IF(C197=ROUND(D197+SUM(F197:G197),0)," "," Стр. 444, Гр. 1 [C197]  д.б. = [Окр(D197+Сум(F197:G197),0)] {" &amp; ROUND(D197+SUM(F197:G197),0) &amp; "}.")," ") &amp; IFERROR(IF(H197=ROUND(I197+SUM(K197:L197),0)," "," Стр. 444, Гр. 6 [H197]  д.б. = [Окр(I197+Сум(K197:L197),0)] {" &amp; ROUND(I197+SUM(K197:L197),0) &amp; "}.")," ")</f>
        <v xml:space="preserve">  </v>
      </c>
    </row>
    <row r="198" spans="1:13" ht="30" customHeight="1" x14ac:dyDescent="0.25">
      <c r="A198" s="2" t="s">
        <v>415</v>
      </c>
      <c r="B198" s="1" t="s">
        <v>744</v>
      </c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3" t="str">
        <f>IFERROR(IF(C198=ROUND(D198+SUM(F198:G198),0)," "," Стр. 445, Гр. 1 [C198]  д.б. = [Окр(D198+Сум(F198:G198),0)] {" &amp; ROUND(D198+SUM(F198:G198),0) &amp; "}.")," ") &amp; IFERROR(IF(H198=ROUND(I198+SUM(K198:L198),0)," "," Стр. 445, Гр. 6 [H198]  д.б. = [Окр(I198+Сум(K198:L198),0)] {" &amp; ROUND(I198+SUM(K198:L198),0) &amp; "}.")," ")</f>
        <v xml:space="preserve">  </v>
      </c>
    </row>
    <row r="199" spans="1:13" ht="30" customHeight="1" x14ac:dyDescent="0.25">
      <c r="A199" s="2" t="s">
        <v>417</v>
      </c>
      <c r="B199" s="1" t="s">
        <v>745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3" t="str">
        <f>IFERROR(IF(C199=ROUND(D199+SUM(F199:G199),0)," "," Стр. 446, Гр. 1 [C199]  д.б. = [Окр(D199+Сум(F199:G199),0)] {" &amp; ROUND(D199+SUM(F199:G199),0) &amp; "}.")," ") &amp; IFERROR(IF(H199=ROUND(I199+SUM(K199:L199),0)," "," Стр. 446, Гр. 6 [H199]  д.б. = [Окр(I199+Сум(K199:L199),0)] {" &amp; ROUND(I199+SUM(K199:L199),0) &amp; "}.")," ")</f>
        <v xml:space="preserve">  </v>
      </c>
    </row>
    <row r="200" spans="1:13" ht="30" customHeight="1" x14ac:dyDescent="0.25">
      <c r="A200" s="2" t="s">
        <v>419</v>
      </c>
      <c r="B200" s="1" t="s">
        <v>746</v>
      </c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3" t="str">
        <f>IFERROR(IF(C200=ROUND(D200+SUM(F200:G200),0)," "," Стр. 447, Гр. 1 [C200]  д.б. = [Окр(D200+Сум(F200:G200),0)] {" &amp; ROUND(D200+SUM(F200:G200),0) &amp; "}.")," ") &amp; IFERROR(IF(H200=ROUND(I200+SUM(K200:L200),0)," "," Стр. 447, Гр. 6 [H200]  д.б. = [Окр(I200+Сум(K200:L200),0)] {" &amp; ROUND(I200+SUM(K200:L200),0) &amp; "}.")," ")</f>
        <v xml:space="preserve">  </v>
      </c>
    </row>
    <row r="201" spans="1:13" ht="30" customHeight="1" x14ac:dyDescent="0.25">
      <c r="A201" s="2" t="s">
        <v>421</v>
      </c>
      <c r="B201" s="1" t="s">
        <v>747</v>
      </c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3" t="str">
        <f>IFERROR(IF(C201=ROUND(D201+SUM(F201:G201),0)," "," Стр. 448, Гр. 1 [C201]  д.б. = [Окр(D201+Сум(F201:G201),0)] {" &amp; ROUND(D201+SUM(F201:G201),0) &amp; "}.")," ") &amp; IFERROR(IF(H201=ROUND(I201+SUM(K201:L201),0)," "," Стр. 448, Гр. 6 [H201]  д.б. = [Окр(I201+Сум(K201:L201),0)] {" &amp; ROUND(I201+SUM(K201:L201),0) &amp; "}.")," ")</f>
        <v xml:space="preserve">  </v>
      </c>
    </row>
    <row r="202" spans="1:13" ht="30" customHeight="1" x14ac:dyDescent="0.25">
      <c r="A202" s="2" t="s">
        <v>423</v>
      </c>
      <c r="B202" s="1" t="s">
        <v>748</v>
      </c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3" t="str">
        <f>IFERROR(IF(C202=ROUND(D202+SUM(F202:G202),0)," "," Стр. 449, Гр. 1 [C202]  д.б. = [Окр(D202+Сум(F202:G202),0)] {" &amp; ROUND(D202+SUM(F202:G202),0) &amp; "}.")," ") &amp; IFERROR(IF(H202=ROUND(I202+SUM(K202:L202),0)," "," Стр. 449, Гр. 6 [H202]  д.б. = [Окр(I202+Сум(K202:L202),0)] {" &amp; ROUND(I202+SUM(K202:L202),0) &amp; "}.")," ")</f>
        <v xml:space="preserve">  </v>
      </c>
    </row>
    <row r="203" spans="1:13" ht="30" customHeight="1" x14ac:dyDescent="0.25">
      <c r="A203" s="2" t="s">
        <v>425</v>
      </c>
      <c r="B203" s="1" t="s">
        <v>749</v>
      </c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3" t="str">
        <f>IFERROR(IF(C203=ROUND(D203+SUM(F203:G203),0)," "," Стр. 450, Гр. 1 [C203]  д.б. = [Окр(D203+Сум(F203:G203),0)] {" &amp; ROUND(D203+SUM(F203:G203),0) &amp; "}.")," ") &amp; IFERROR(IF(H203=ROUND(I203+SUM(K203:L203),0)," "," Стр. 450, Гр. 6 [H203]  д.б. = [Окр(I203+Сум(K203:L203),0)] {" &amp; ROUND(I203+SUM(K203:L203),0) &amp; "}.")," ")</f>
        <v xml:space="preserve">  </v>
      </c>
    </row>
    <row r="204" spans="1:13" ht="30" customHeight="1" x14ac:dyDescent="0.25">
      <c r="A204" s="2" t="s">
        <v>427</v>
      </c>
      <c r="B204" s="1" t="s">
        <v>750</v>
      </c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3" t="str">
        <f>IFERROR(IF(C204=ROUND(D204+SUM(F204:G204),0)," "," Стр. 451, Гр. 1 [C204]  д.б. = [Окр(D204+Сум(F204:G204),0)] {" &amp; ROUND(D204+SUM(F204:G204),0) &amp; "}.")," ") &amp; IFERROR(IF(H204=ROUND(I204+SUM(K204:L204),0)," "," Стр. 451, Гр. 6 [H204]  д.б. = [Окр(I204+Сум(K204:L204),0)] {" &amp; ROUND(I204+SUM(K204:L204),0) &amp; "}.")," ")</f>
        <v xml:space="preserve">  </v>
      </c>
    </row>
    <row r="205" spans="1:13" ht="30" customHeight="1" x14ac:dyDescent="0.25">
      <c r="A205" s="2" t="s">
        <v>429</v>
      </c>
      <c r="B205" s="1" t="s">
        <v>751</v>
      </c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3" t="str">
        <f>IFERROR(IF(C205=ROUND(D205+SUM(F205:G205),0)," "," Стр. 452, Гр. 1 [C205]  д.б. = [Окр(D205+Сум(F205:G205),0)] {" &amp; ROUND(D205+SUM(F205:G205),0) &amp; "}.")," ") &amp; IFERROR(IF(H205=ROUND(I205+SUM(K205:L205),0)," "," Стр. 452, Гр. 6 [H205]  д.б. = [Окр(I205+Сум(K205:L205),0)] {" &amp; ROUND(I205+SUM(K205:L205),0) &amp; "}.")," ")</f>
        <v xml:space="preserve">  </v>
      </c>
    </row>
    <row r="206" spans="1:13" ht="30" customHeight="1" x14ac:dyDescent="0.25">
      <c r="A206" s="2" t="s">
        <v>431</v>
      </c>
      <c r="B206" s="1" t="s">
        <v>752</v>
      </c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3" t="str">
        <f>IFERROR(IF(C206=ROUND(D206+SUM(F206:G206),0)," "," Стр. 453, Гр. 1 [C206]  д.б. = [Окр(D206+Сум(F206:G206),0)] {" &amp; ROUND(D206+SUM(F206:G206),0) &amp; "}.")," ") &amp; IFERROR(IF(H206=ROUND(I206+SUM(K206:L206),0)," "," Стр. 453, Гр. 6 [H206]  д.б. = [Окр(I206+Сум(K206:L206),0)] {" &amp; ROUND(I206+SUM(K206:L206),0) &amp; "}.")," ")</f>
        <v xml:space="preserve">  </v>
      </c>
    </row>
    <row r="207" spans="1:13" ht="30" customHeight="1" x14ac:dyDescent="0.25">
      <c r="A207" s="2" t="s">
        <v>433</v>
      </c>
      <c r="B207" s="1" t="s">
        <v>753</v>
      </c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3" t="str">
        <f>IFERROR(IF(C207=ROUND(D207+SUM(F207:G207),0)," "," Стр. 454, Гр. 1 [C207]  д.б. = [Окр(D207+Сум(F207:G207),0)] {" &amp; ROUND(D207+SUM(F207:G207),0) &amp; "}.")," ") &amp; IFERROR(IF(H207=ROUND(I207+SUM(K207:L207),0)," "," Стр. 454, Гр. 6 [H207]  д.б. = [Окр(I207+Сум(K207:L207),0)] {" &amp; ROUND(I207+SUM(K207:L207),0) &amp; "}.")," ")</f>
        <v xml:space="preserve">  </v>
      </c>
    </row>
    <row r="208" spans="1:13" ht="30" customHeight="1" x14ac:dyDescent="0.25">
      <c r="A208" s="2" t="s">
        <v>435</v>
      </c>
      <c r="B208" s="1" t="s">
        <v>754</v>
      </c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3" t="str">
        <f>IFERROR(IF(C208=ROUND(D208+SUM(F208:G208),0)," "," Стр. 455, Гр. 1 [C208]  д.б. = [Окр(D208+Сум(F208:G208),0)] {" &amp; ROUND(D208+SUM(F208:G208),0) &amp; "}.")," ") &amp; IFERROR(IF(H208=ROUND(I208+SUM(K208:L208),0)," "," Стр. 455, Гр. 6 [H208]  д.б. = [Окр(I208+Сум(K208:L208),0)] {" &amp; ROUND(I208+SUM(K208:L208),0) &amp; "}.")," ")</f>
        <v xml:space="preserve">  </v>
      </c>
    </row>
    <row r="209" spans="1:13" ht="30" customHeight="1" x14ac:dyDescent="0.25">
      <c r="A209" s="2" t="s">
        <v>437</v>
      </c>
      <c r="B209" s="1" t="s">
        <v>755</v>
      </c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3" t="str">
        <f>IFERROR(IF(C209=ROUND(D209+SUM(F209:G209),0)," "," Стр. 456, Гр. 1 [C209]  д.б. = [Окр(D209+Сум(F209:G209),0)] {" &amp; ROUND(D209+SUM(F209:G209),0) &amp; "}.")," ") &amp; IFERROR(IF(H209=ROUND(I209+SUM(K209:L209),0)," "," Стр. 456, Гр. 6 [H209]  д.б. = [Окр(I209+Сум(K209:L209),0)] {" &amp; ROUND(I209+SUM(K209:L209),0) &amp; "}.")," ")</f>
        <v xml:space="preserve">  </v>
      </c>
    </row>
    <row r="210" spans="1:13" ht="30" customHeight="1" x14ac:dyDescent="0.25">
      <c r="A210" s="2" t="s">
        <v>439</v>
      </c>
      <c r="B210" s="1" t="s">
        <v>756</v>
      </c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3" t="str">
        <f>IFERROR(IF(C210=ROUND(D210+SUM(F210:G210),0)," "," Стр. 457, Гр. 1 [C210]  д.б. = [Окр(D210+Сум(F210:G210),0)] {" &amp; ROUND(D210+SUM(F210:G210),0) &amp; "}.")," ") &amp; IFERROR(IF(H210=ROUND(I210+SUM(K210:L210),0)," "," Стр. 457, Гр. 6 [H210]  д.б. = [Окр(I210+Сум(K210:L210),0)] {" &amp; ROUND(I210+SUM(K210:L210),0) &amp; "}.")," ")</f>
        <v xml:space="preserve">  </v>
      </c>
    </row>
    <row r="211" spans="1:13" ht="30" customHeight="1" x14ac:dyDescent="0.25">
      <c r="A211" s="2" t="s">
        <v>441</v>
      </c>
      <c r="B211" s="1" t="s">
        <v>757</v>
      </c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3" t="str">
        <f>IFERROR(IF(C211=ROUND(D211+SUM(F211:G211),0)," "," Стр. 458, Гр. 1 [C211]  д.б. = [Окр(D211+Сум(F211:G211),0)] {" &amp; ROUND(D211+SUM(F211:G211),0) &amp; "}.")," ") &amp; IFERROR(IF(H211=ROUND(I211+SUM(K211:L211),0)," "," Стр. 458, Гр. 6 [H211]  д.б. = [Окр(I211+Сум(K211:L211),0)] {" &amp; ROUND(I211+SUM(K211:L211),0) &amp; "}.")," ")</f>
        <v xml:space="preserve">  </v>
      </c>
    </row>
    <row r="212" spans="1:13" ht="30" customHeight="1" x14ac:dyDescent="0.25">
      <c r="A212" s="2" t="s">
        <v>443</v>
      </c>
      <c r="B212" s="1" t="s">
        <v>758</v>
      </c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3" t="str">
        <f>IFERROR(IF(C212=ROUND(D212+SUM(F212:G212),0)," "," Стр. 459, Гр. 1 [C212]  д.б. = [Окр(D212+Сум(F212:G212),0)] {" &amp; ROUND(D212+SUM(F212:G212),0) &amp; "}.")," ") &amp; IFERROR(IF(H212=ROUND(I212+SUM(K212:L212),0)," "," Стр. 459, Гр. 6 [H212]  д.б. = [Окр(I212+Сум(K212:L212),0)] {" &amp; ROUND(I212+SUM(K212:L212),0) &amp; "}.")," ")</f>
        <v xml:space="preserve">  </v>
      </c>
    </row>
    <row r="213" spans="1:13" ht="30" customHeight="1" x14ac:dyDescent="0.25">
      <c r="A213" s="2" t="s">
        <v>445</v>
      </c>
      <c r="B213" s="1" t="s">
        <v>759</v>
      </c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3" t="str">
        <f>IFERROR(IF(C213=ROUND(D213+SUM(F213:G213),0)," "," Стр. 460, Гр. 1 [C213]  д.б. = [Окр(D213+Сум(F213:G213),0)] {" &amp; ROUND(D213+SUM(F213:G213),0) &amp; "}.")," ") &amp; IFERROR(IF(H213=ROUND(I213+SUM(K213:L213),0)," "," Стр. 460, Гр. 6 [H213]  д.б. = [Окр(I213+Сум(K213:L213),0)] {" &amp; ROUND(I213+SUM(K213:L213),0) &amp; "}.")," ")</f>
        <v xml:space="preserve">  </v>
      </c>
    </row>
    <row r="214" spans="1:13" ht="30" customHeight="1" x14ac:dyDescent="0.25">
      <c r="A214" s="2" t="s">
        <v>447</v>
      </c>
      <c r="B214" s="1" t="s">
        <v>760</v>
      </c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3" t="str">
        <f>IFERROR(IF(C214=ROUND(D214+SUM(F214:G214),0)," "," Стр. 461, Гр. 1 [C214]  д.б. = [Окр(D214+Сум(F214:G214),0)] {" &amp; ROUND(D214+SUM(F214:G214),0) &amp; "}.")," ") &amp; IFERROR(IF(H214=ROUND(I214+SUM(K214:L214),0)," "," Стр. 461, Гр. 6 [H214]  д.б. = [Окр(I214+Сум(K214:L214),0)] {" &amp; ROUND(I214+SUM(K214:L214),0) &amp; "}.")," ")</f>
        <v xml:space="preserve">  </v>
      </c>
    </row>
    <row r="215" spans="1:13" ht="30" customHeight="1" x14ac:dyDescent="0.25">
      <c r="A215" s="2" t="s">
        <v>449</v>
      </c>
      <c r="B215" s="1" t="s">
        <v>761</v>
      </c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3" t="str">
        <f>IFERROR(IF(C215=ROUND(D215+SUM(F215:G215),0)," "," Стр. 462, Гр. 1 [C215]  д.б. = [Окр(D215+Сум(F215:G215),0)] {" &amp; ROUND(D215+SUM(F215:G215),0) &amp; "}.")," ") &amp; IFERROR(IF(H215=ROUND(I215+SUM(K215:L215),0)," "," Стр. 462, Гр. 6 [H215]  д.б. = [Окр(I215+Сум(K215:L215),0)] {" &amp; ROUND(I215+SUM(K215:L215),0) &amp; "}.")," ")</f>
        <v xml:space="preserve">  </v>
      </c>
    </row>
    <row r="216" spans="1:13" ht="30" customHeight="1" x14ac:dyDescent="0.25">
      <c r="A216" s="2" t="s">
        <v>451</v>
      </c>
      <c r="B216" s="1" t="s">
        <v>762</v>
      </c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3" t="str">
        <f>IFERROR(IF(C216=ROUND(D216+SUM(F216:G216),0)," "," Стр. 463, Гр. 1 [C216]  д.б. = [Окр(D216+Сум(F216:G216),0)] {" &amp; ROUND(D216+SUM(F216:G216),0) &amp; "}.")," ") &amp; IFERROR(IF(H216=ROUND(I216+SUM(K216:L216),0)," "," Стр. 463, Гр. 6 [H216]  д.б. = [Окр(I216+Сум(K216:L216),0)] {" &amp; ROUND(I216+SUM(K216:L216),0) &amp; "}.")," ")</f>
        <v xml:space="preserve">  </v>
      </c>
    </row>
    <row r="217" spans="1:13" ht="30" customHeight="1" x14ac:dyDescent="0.25">
      <c r="A217" s="2" t="s">
        <v>453</v>
      </c>
      <c r="B217" s="1" t="s">
        <v>763</v>
      </c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3" t="str">
        <f>IFERROR(IF(C217=ROUND(D217+SUM(F217:G217),0)," "," Стр. 464, Гр. 1 [C217]  д.б. = [Окр(D217+Сум(F217:G217),0)] {" &amp; ROUND(D217+SUM(F217:G217),0) &amp; "}.")," ") &amp; IFERROR(IF(H217=ROUND(I217+SUM(K217:L217),0)," "," Стр. 464, Гр. 6 [H217]  д.б. = [Окр(I217+Сум(K217:L217),0)] {" &amp; ROUND(I217+SUM(K217:L217),0) &amp; "}.")," ")</f>
        <v xml:space="preserve">  </v>
      </c>
    </row>
    <row r="218" spans="1:13" ht="30" customHeight="1" x14ac:dyDescent="0.25">
      <c r="A218" s="2" t="s">
        <v>455</v>
      </c>
      <c r="B218" s="1" t="s">
        <v>764</v>
      </c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3" t="str">
        <f>IFERROR(IF(C218=ROUND(D218+SUM(F218:G218),0)," "," Стр. 465, Гр. 1 [C218]  д.б. = [Окр(D218+Сум(F218:G218),0)] {" &amp; ROUND(D218+SUM(F218:G218),0) &amp; "}.")," ") &amp; IFERROR(IF(H218=ROUND(I218+SUM(K218:L218),0)," "," Стр. 465, Гр. 6 [H218]  д.б. = [Окр(I218+Сум(K218:L218),0)] {" &amp; ROUND(I218+SUM(K218:L218),0) &amp; "}.")," ")</f>
        <v xml:space="preserve">  </v>
      </c>
    </row>
    <row r="219" spans="1:13" ht="30" customHeight="1" x14ac:dyDescent="0.25">
      <c r="A219" s="2" t="s">
        <v>457</v>
      </c>
      <c r="B219" s="1" t="s">
        <v>765</v>
      </c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3" t="str">
        <f>IFERROR(IF(C219=ROUND(D219+SUM(F219:G219),0)," "," Стр. 466, Гр. 1 [C219]  д.б. = [Окр(D219+Сум(F219:G219),0)] {" &amp; ROUND(D219+SUM(F219:G219),0) &amp; "}.")," ") &amp; IFERROR(IF(H219=ROUND(I219+SUM(K219:L219),0)," "," Стр. 466, Гр. 6 [H219]  д.б. = [Окр(I219+Сум(K219:L219),0)] {" &amp; ROUND(I219+SUM(K219:L219),0) &amp; "}.")," ")</f>
        <v xml:space="preserve">  </v>
      </c>
    </row>
    <row r="220" spans="1:13" ht="30" customHeight="1" x14ac:dyDescent="0.25">
      <c r="A220" s="2" t="s">
        <v>459</v>
      </c>
      <c r="B220" s="1" t="s">
        <v>766</v>
      </c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3" t="str">
        <f>IFERROR(IF(C220=ROUND(D220+SUM(F220:G220),0)," "," Стр. 467, Гр. 1 [C220]  д.б. = [Окр(D220+Сум(F220:G220),0)] {" &amp; ROUND(D220+SUM(F220:G220),0) &amp; "}.")," ") &amp; IFERROR(IF(H220=ROUND(I220+SUM(K220:L220),0)," "," Стр. 467, Гр. 6 [H220]  д.б. = [Окр(I220+Сум(K220:L220),0)] {" &amp; ROUND(I220+SUM(K220:L220),0) &amp; "}.")," ")</f>
        <v xml:space="preserve">  </v>
      </c>
    </row>
    <row r="221" spans="1:13" ht="30" customHeight="1" x14ac:dyDescent="0.25">
      <c r="A221" s="2" t="s">
        <v>461</v>
      </c>
      <c r="B221" s="1" t="s">
        <v>767</v>
      </c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3" t="str">
        <f>IFERROR(IF(C221=ROUND(D221+SUM(F221:G221),0)," "," Стр. 468, Гр. 1 [C221]  д.б. = [Окр(D221+Сум(F221:G221),0)] {" &amp; ROUND(D221+SUM(F221:G221),0) &amp; "}.")," ") &amp; IFERROR(IF(H221=ROUND(I221+SUM(K221:L221),0)," "," Стр. 468, Гр. 6 [H221]  д.б. = [Окр(I221+Сум(K221:L221),0)] {" &amp; ROUND(I221+SUM(K221:L221),0) &amp; "}.")," ")</f>
        <v xml:space="preserve">  </v>
      </c>
    </row>
    <row r="222" spans="1:13" ht="30" customHeight="1" x14ac:dyDescent="0.25">
      <c r="A222" s="2" t="s">
        <v>463</v>
      </c>
      <c r="B222" s="1" t="s">
        <v>768</v>
      </c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3" t="str">
        <f>IFERROR(IF(C222=ROUND(D222+SUM(F222:G222),0)," "," Стр. 469, Гр. 1 [C222]  д.б. = [Окр(D222+Сум(F222:G222),0)] {" &amp; ROUND(D222+SUM(F222:G222),0) &amp; "}.")," ") &amp; IFERROR(IF(H222=ROUND(I222+SUM(K222:L222),0)," "," Стр. 469, Гр. 6 [H222]  д.б. = [Окр(I222+Сум(K222:L222),0)] {" &amp; ROUND(I222+SUM(K222:L222),0) &amp; "}.")," ")</f>
        <v xml:space="preserve">  </v>
      </c>
    </row>
    <row r="223" spans="1:13" ht="30" customHeight="1" x14ac:dyDescent="0.25">
      <c r="A223" s="2" t="s">
        <v>465</v>
      </c>
      <c r="B223" s="1" t="s">
        <v>769</v>
      </c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3" t="str">
        <f>IFERROR(IF(C223=ROUND(D223+SUM(F223:G223),0)," "," Стр. 470, Гр. 1 [C223]  д.б. = [Окр(D223+Сум(F223:G223),0)] {" &amp; ROUND(D223+SUM(F223:G223),0) &amp; "}.")," ") &amp; IFERROR(IF(H223=ROUND(I223+SUM(K223:L223),0)," "," Стр. 470, Гр. 6 [H223]  д.б. = [Окр(I223+Сум(K223:L223),0)] {" &amp; ROUND(I223+SUM(K223:L223),0) &amp; "}.")," ")</f>
        <v xml:space="preserve">  </v>
      </c>
    </row>
    <row r="224" spans="1:13" ht="30" customHeight="1" x14ac:dyDescent="0.25">
      <c r="A224" s="2" t="s">
        <v>467</v>
      </c>
      <c r="B224" s="1" t="s">
        <v>770</v>
      </c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3" t="str">
        <f>IFERROR(IF(C224=ROUND(D224+SUM(F224:G224),0)," "," Стр. 471, Гр. 1 [C224]  д.б. = [Окр(D224+Сум(F224:G224),0)] {" &amp; ROUND(D224+SUM(F224:G224),0) &amp; "}.")," ") &amp; IFERROR(IF(H224=ROUND(I224+SUM(K224:L224),0)," "," Стр. 471, Гр. 6 [H224]  д.б. = [Окр(I224+Сум(K224:L224),0)] {" &amp; ROUND(I224+SUM(K224:L224),0) &amp; "}.")," ")</f>
        <v xml:space="preserve">  </v>
      </c>
    </row>
    <row r="225" spans="1:13" ht="30" customHeight="1" x14ac:dyDescent="0.25">
      <c r="A225" s="2" t="s">
        <v>469</v>
      </c>
      <c r="B225" s="1" t="s">
        <v>771</v>
      </c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3" t="str">
        <f>IFERROR(IF(C225=ROUND(D225+SUM(F225:G225),0)," "," Стр. 472, Гр. 1 [C225]  д.б. = [Окр(D225+Сум(F225:G225),0)] {" &amp; ROUND(D225+SUM(F225:G225),0) &amp; "}.")," ") &amp; IFERROR(IF(H225=ROUND(I225+SUM(K225:L225),0)," "," Стр. 472, Гр. 6 [H225]  д.б. = [Окр(I225+Сум(K225:L225),0)] {" &amp; ROUND(I225+SUM(K225:L225),0) &amp; "}.")," ")</f>
        <v xml:space="preserve">  </v>
      </c>
    </row>
    <row r="226" spans="1:13" ht="30" customHeight="1" x14ac:dyDescent="0.25">
      <c r="A226" s="2" t="s">
        <v>471</v>
      </c>
      <c r="B226" s="1" t="s">
        <v>772</v>
      </c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3" t="str">
        <f>IFERROR(IF(C226=ROUND(D226+SUM(F226:G226),0)," "," Стр. 473, Гр. 1 [C226]  д.б. = [Окр(D226+Сум(F226:G226),0)] {" &amp; ROUND(D226+SUM(F226:G226),0) &amp; "}.")," ") &amp; IFERROR(IF(H226=ROUND(I226+SUM(K226:L226),0)," "," Стр. 473, Гр. 6 [H226]  д.б. = [Окр(I226+Сум(K226:L226),0)] {" &amp; ROUND(I226+SUM(K226:L226),0) &amp; "}.")," ")</f>
        <v xml:space="preserve">  </v>
      </c>
    </row>
    <row r="227" spans="1:13" ht="30" customHeight="1" x14ac:dyDescent="0.25">
      <c r="A227" s="2" t="s">
        <v>473</v>
      </c>
      <c r="B227" s="1" t="s">
        <v>773</v>
      </c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3" t="str">
        <f>IFERROR(IF(C227=ROUND(D227+SUM(F227:G227),0)," "," Стр. 474, Гр. 1 [C227]  д.б. = [Окр(D227+Сум(F227:G227),0)] {" &amp; ROUND(D227+SUM(F227:G227),0) &amp; "}.")," ") &amp; IFERROR(IF(H227=ROUND(I227+SUM(K227:L227),0)," "," Стр. 474, Гр. 6 [H227]  д.б. = [Окр(I227+Сум(K227:L227),0)] {" &amp; ROUND(I227+SUM(K227:L227),0) &amp; "}.")," ")</f>
        <v xml:space="preserve">  </v>
      </c>
    </row>
    <row r="228" spans="1:13" ht="30" customHeight="1" x14ac:dyDescent="0.25">
      <c r="A228" s="2" t="s">
        <v>475</v>
      </c>
      <c r="B228" s="1" t="s">
        <v>774</v>
      </c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3" t="str">
        <f>IFERROR(IF(C228=ROUND(D228+SUM(F228:G228),0)," "," Стр. 475, Гр. 1 [C228]  д.б. = [Окр(D228+Сум(F228:G228),0)] {" &amp; ROUND(D228+SUM(F228:G228),0) &amp; "}.")," ") &amp; IFERROR(IF(H228=ROUND(I228+SUM(K228:L228),0)," "," Стр. 475, Гр. 6 [H228]  д.б. = [Окр(I228+Сум(K228:L228),0)] {" &amp; ROUND(I228+SUM(K228:L228),0) &amp; "}.")," ")</f>
        <v xml:space="preserve">  </v>
      </c>
    </row>
    <row r="229" spans="1:13" ht="30" customHeight="1" x14ac:dyDescent="0.25">
      <c r="A229" s="2" t="s">
        <v>477</v>
      </c>
      <c r="B229" s="1" t="s">
        <v>775</v>
      </c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3" t="str">
        <f>IFERROR(IF(C229=ROUND(D229+SUM(F229:G229),0)," "," Стр. 476, Гр. 1 [C229]  д.б. = [Окр(D229+Сум(F229:G229),0)] {" &amp; ROUND(D229+SUM(F229:G229),0) &amp; "}.")," ") &amp; IFERROR(IF(H229=ROUND(I229+SUM(K229:L229),0)," "," Стр. 476, Гр. 6 [H229]  д.б. = [Окр(I229+Сум(K229:L229),0)] {" &amp; ROUND(I229+SUM(K229:L229),0) &amp; "}.")," ")</f>
        <v xml:space="preserve">  </v>
      </c>
    </row>
    <row r="230" spans="1:13" ht="30" customHeight="1" x14ac:dyDescent="0.25">
      <c r="A230" s="2" t="s">
        <v>479</v>
      </c>
      <c r="B230" s="1" t="s">
        <v>776</v>
      </c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3" t="str">
        <f>IFERROR(IF(C230=ROUND(D230+SUM(F230:G230),0)," "," Стр. 477, Гр. 1 [C230]  д.б. = [Окр(D230+Сум(F230:G230),0)] {" &amp; ROUND(D230+SUM(F230:G230),0) &amp; "}.")," ") &amp; IFERROR(IF(H230=ROUND(I230+SUM(K230:L230),0)," "," Стр. 477, Гр. 6 [H230]  д.б. = [Окр(I230+Сум(K230:L230),0)] {" &amp; ROUND(I230+SUM(K230:L230),0) &amp; "}.")," ")</f>
        <v xml:space="preserve">  </v>
      </c>
    </row>
    <row r="231" spans="1:13" ht="30" customHeight="1" x14ac:dyDescent="0.25">
      <c r="A231" s="2" t="s">
        <v>481</v>
      </c>
      <c r="B231" s="1" t="s">
        <v>777</v>
      </c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3" t="str">
        <f>IFERROR(IF(C231=ROUND(D231+SUM(F231:G231),0)," "," Стр. 478, Гр. 1 [C231]  д.б. = [Окр(D231+Сум(F231:G231),0)] {" &amp; ROUND(D231+SUM(F231:G231),0) &amp; "}.")," ") &amp; IFERROR(IF(H231=ROUND(I231+SUM(K231:L231),0)," "," Стр. 478, Гр. 6 [H231]  д.б. = [Окр(I231+Сум(K231:L231),0)] {" &amp; ROUND(I231+SUM(K231:L231),0) &amp; "}.")," ")</f>
        <v xml:space="preserve">  </v>
      </c>
    </row>
    <row r="232" spans="1:13" ht="30" customHeight="1" x14ac:dyDescent="0.25">
      <c r="A232" s="2" t="s">
        <v>483</v>
      </c>
      <c r="B232" s="1" t="s">
        <v>778</v>
      </c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3" t="str">
        <f>IFERROR(IF(C232=ROUND(D232+SUM(F232:G232),0)," "," Стр. 479, Гр. 1 [C232]  д.б. = [Окр(D232+Сум(F232:G232),0)] {" &amp; ROUND(D232+SUM(F232:G232),0) &amp; "}.")," ") &amp; IFERROR(IF(H232=ROUND(I232+SUM(K232:L232),0)," "," Стр. 479, Гр. 6 [H232]  д.б. = [Окр(I232+Сум(K232:L232),0)] {" &amp; ROUND(I232+SUM(K232:L232),0) &amp; "}.")," ")</f>
        <v xml:space="preserve">  </v>
      </c>
    </row>
    <row r="233" spans="1:13" ht="30" customHeight="1" x14ac:dyDescent="0.25">
      <c r="A233" s="2" t="s">
        <v>485</v>
      </c>
      <c r="B233" s="1" t="s">
        <v>779</v>
      </c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3" t="str">
        <f>IFERROR(IF(C233=ROUND(D233+SUM(F233:G233),0)," "," Стр. 480, Гр. 1 [C233]  д.б. = [Окр(D233+Сум(F233:G233),0)] {" &amp; ROUND(D233+SUM(F233:G233),0) &amp; "}.")," ") &amp; IFERROR(IF(H233=ROUND(I233+SUM(K233:L233),0)," "," Стр. 480, Гр. 6 [H233]  д.б. = [Окр(I233+Сум(K233:L233),0)] {" &amp; ROUND(I233+SUM(K233:L233),0) &amp; "}.")," ")</f>
        <v xml:space="preserve">  </v>
      </c>
    </row>
    <row r="234" spans="1:13" ht="30" customHeight="1" x14ac:dyDescent="0.25">
      <c r="A234" s="2" t="s">
        <v>487</v>
      </c>
      <c r="B234" s="1" t="s">
        <v>780</v>
      </c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3" t="str">
        <f>IFERROR(IF(C234=ROUND(D234+SUM(F234:G234),0)," "," Стр. 481, Гр. 1 [C234]  д.б. = [Окр(D234+Сум(F234:G234),0)] {" &amp; ROUND(D234+SUM(F234:G234),0) &amp; "}.")," ") &amp; IFERROR(IF(H234=ROUND(I234+SUM(K234:L234),0)," "," Стр. 481, Гр. 6 [H234]  д.б. = [Окр(I234+Сум(K234:L234),0)] {" &amp; ROUND(I234+SUM(K234:L234),0) &amp; "}.")," ")</f>
        <v xml:space="preserve">  </v>
      </c>
    </row>
    <row r="235" spans="1:13" ht="30" customHeight="1" x14ac:dyDescent="0.25">
      <c r="A235" s="2" t="s">
        <v>489</v>
      </c>
      <c r="B235" s="1" t="s">
        <v>781</v>
      </c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3" t="str">
        <f>IFERROR(IF(C235=ROUND(D235+SUM(F235:G235),0)," "," Стр. 482, Гр. 1 [C235]  д.б. = [Окр(D235+Сум(F235:G235),0)] {" &amp; ROUND(D235+SUM(F235:G235),0) &amp; "}.")," ") &amp; IFERROR(IF(H235=ROUND(I235+SUM(K235:L235),0)," "," Стр. 482, Гр. 6 [H235]  д.б. = [Окр(I235+Сум(K235:L235),0)] {" &amp; ROUND(I235+SUM(K235:L235),0) &amp; "}.")," ")</f>
        <v xml:space="preserve">  </v>
      </c>
    </row>
    <row r="236" spans="1:13" ht="30" customHeight="1" x14ac:dyDescent="0.25">
      <c r="A236" s="2" t="s">
        <v>491</v>
      </c>
      <c r="B236" s="1" t="s">
        <v>782</v>
      </c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3" t="str">
        <f>IFERROR(IF(C236=ROUND(D236+SUM(F236:G236),0)," "," Стр. 483, Гр. 1 [C236]  д.б. = [Окр(D236+Сум(F236:G236),0)] {" &amp; ROUND(D236+SUM(F236:G236),0) &amp; "}.")," ") &amp; IFERROR(IF(H236=ROUND(I236+SUM(K236:L236),0)," "," Стр. 483, Гр. 6 [H236]  д.б. = [Окр(I236+Сум(K236:L236),0)] {" &amp; ROUND(I236+SUM(K236:L236),0) &amp; "}.")," ")</f>
        <v xml:space="preserve">  </v>
      </c>
    </row>
    <row r="237" spans="1:13" ht="30" customHeight="1" x14ac:dyDescent="0.25">
      <c r="A237" s="2" t="s">
        <v>493</v>
      </c>
      <c r="B237" s="1" t="s">
        <v>783</v>
      </c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3" t="str">
        <f>IFERROR(IF(C237=ROUND(D237+SUM(F237:G237),0)," "," Стр. 484, Гр. 1 [C237]  д.б. = [Окр(D237+Сум(F237:G237),0)] {" &amp; ROUND(D237+SUM(F237:G237),0) &amp; "}.")," ") &amp; IFERROR(IF(H237=ROUND(I237+SUM(K237:L237),0)," "," Стр. 484, Гр. 6 [H237]  д.б. = [Окр(I237+Сум(K237:L237),0)] {" &amp; ROUND(I237+SUM(K237:L237),0) &amp; "}.")," ")</f>
        <v xml:space="preserve">  </v>
      </c>
    </row>
    <row r="238" spans="1:13" ht="30" customHeight="1" x14ac:dyDescent="0.25">
      <c r="A238" s="2" t="s">
        <v>495</v>
      </c>
      <c r="B238" s="1" t="s">
        <v>784</v>
      </c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3" t="str">
        <f>IFERROR(IF(C238=ROUND(D238+SUM(F238:G238),0)," "," Стр. 485, Гр. 1 [C238]  д.б. = [Окр(D238+Сум(F238:G238),0)] {" &amp; ROUND(D238+SUM(F238:G238),0) &amp; "}.")," ") &amp; IFERROR(IF(H238=ROUND(I238+SUM(K238:L238),0)," "," Стр. 485, Гр. 6 [H238]  д.б. = [Окр(I238+Сум(K238:L238),0)] {" &amp; ROUND(I238+SUM(K238:L238),0) &amp; "}.")," ")</f>
        <v xml:space="preserve">  </v>
      </c>
    </row>
    <row r="239" spans="1:13" ht="30" customHeight="1" x14ac:dyDescent="0.25">
      <c r="A239" s="2" t="s">
        <v>497</v>
      </c>
      <c r="B239" s="1" t="s">
        <v>785</v>
      </c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3" t="str">
        <f>IFERROR(IF(C239=ROUND(D239+SUM(F239:G239),0)," "," Стр. 486, Гр. 1 [C239]  д.б. = [Окр(D239+Сум(F239:G239),0)] {" &amp; ROUND(D239+SUM(F239:G239),0) &amp; "}.")," ") &amp; IFERROR(IF(H239=ROUND(I239+SUM(K239:L239),0)," "," Стр. 486, Гр. 6 [H239]  д.б. = [Окр(I239+Сум(K239:L239),0)] {" &amp; ROUND(I239+SUM(K239:L239),0) &amp; "}.")," ")</f>
        <v xml:space="preserve">  </v>
      </c>
    </row>
    <row r="240" spans="1:13" ht="30" customHeight="1" x14ac:dyDescent="0.25">
      <c r="A240" s="2" t="s">
        <v>499</v>
      </c>
      <c r="B240" s="1" t="s">
        <v>786</v>
      </c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3" t="str">
        <f>IFERROR(IF(C240=ROUND(D240+SUM(F240:G240),0)," "," Стр. 487, Гр. 1 [C240]  д.б. = [Окр(D240+Сум(F240:G240),0)] {" &amp; ROUND(D240+SUM(F240:G240),0) &amp; "}.")," ") &amp; IFERROR(IF(H240=ROUND(I240+SUM(K240:L240),0)," "," Стр. 487, Гр. 6 [H240]  д.б. = [Окр(I240+Сум(K240:L240),0)] {" &amp; ROUND(I240+SUM(K240:L240),0) &amp; "}.")," ")</f>
        <v xml:space="preserve">  </v>
      </c>
    </row>
    <row r="241" spans="1:13" ht="30" customHeight="1" x14ac:dyDescent="0.25">
      <c r="A241" s="2" t="s">
        <v>501</v>
      </c>
      <c r="B241" s="1" t="s">
        <v>787</v>
      </c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3" t="str">
        <f>IFERROR(IF(C241=ROUND(D241+SUM(F241:G241),0)," "," Стр. 488, Гр. 1 [C241]  д.б. = [Окр(D241+Сум(F241:G241),0)] {" &amp; ROUND(D241+SUM(F241:G241),0) &amp; "}.")," ") &amp; IFERROR(IF(H241=ROUND(I241+SUM(K241:L241),0)," "," Стр. 488, Гр. 6 [H241]  д.б. = [Окр(I241+Сум(K241:L241),0)] {" &amp; ROUND(I241+SUM(K241:L241),0) &amp; "}.")," ")</f>
        <v xml:space="preserve">  </v>
      </c>
    </row>
    <row r="242" spans="1:13" ht="30" customHeight="1" x14ac:dyDescent="0.25">
      <c r="A242" s="2" t="s">
        <v>503</v>
      </c>
      <c r="B242" s="1" t="s">
        <v>788</v>
      </c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3" t="str">
        <f>IFERROR(IF(C242=ROUND(D242+SUM(F242:G242),0)," "," Стр. 489, Гр. 1 [C242]  д.б. = [Окр(D242+Сум(F242:G242),0)] {" &amp; ROUND(D242+SUM(F242:G242),0) &amp; "}.")," ") &amp; IFERROR(IF(H242=ROUND(I242+SUM(K242:L242),0)," "," Стр. 489, Гр. 6 [H242]  д.б. = [Окр(I242+Сум(K242:L242),0)] {" &amp; ROUND(I242+SUM(K242:L242),0) &amp; "}.")," ")</f>
        <v xml:space="preserve">  </v>
      </c>
    </row>
    <row r="243" spans="1:13" ht="30" customHeight="1" x14ac:dyDescent="0.25">
      <c r="A243" s="2" t="s">
        <v>505</v>
      </c>
      <c r="B243" s="1" t="s">
        <v>789</v>
      </c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3" t="str">
        <f>IFERROR(IF(C243=ROUND(D243+SUM(F243:G243),0)," "," Стр. 490, Гр. 1 [C243]  д.б. = [Окр(D243+Сум(F243:G243),0)] {" &amp; ROUND(D243+SUM(F243:G243),0) &amp; "}.")," ") &amp; IFERROR(IF(H243=ROUND(I243+SUM(K243:L243),0)," "," Стр. 490, Гр. 6 [H243]  д.б. = [Окр(I243+Сум(K243:L243),0)] {" &amp; ROUND(I243+SUM(K243:L243),0) &amp; "}.")," ")</f>
        <v xml:space="preserve">  </v>
      </c>
    </row>
    <row r="244" spans="1:13" ht="30" customHeight="1" x14ac:dyDescent="0.25">
      <c r="A244" s="2" t="s">
        <v>507</v>
      </c>
      <c r="B244" s="1" t="s">
        <v>790</v>
      </c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3" t="str">
        <f>IFERROR(IF(C244=ROUND(D244+SUM(F244:G244),0)," "," Стр. 491, Гр. 1 [C244]  д.б. = [Окр(D244+Сум(F244:G244),0)] {" &amp; ROUND(D244+SUM(F244:G244),0) &amp; "}.")," ") &amp; IFERROR(IF(H244=ROUND(I244+SUM(K244:L244),0)," "," Стр. 491, Гр. 6 [H244]  д.б. = [Окр(I244+Сум(K244:L244),0)] {" &amp; ROUND(I244+SUM(K244:L244),0) &amp; "}.")," ")</f>
        <v xml:space="preserve">  </v>
      </c>
    </row>
    <row r="245" spans="1:13" ht="30" customHeight="1" x14ac:dyDescent="0.25">
      <c r="A245" s="2" t="s">
        <v>509</v>
      </c>
      <c r="B245" s="1" t="s">
        <v>791</v>
      </c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3" t="str">
        <f>IFERROR(IF(C245=ROUND(D245+SUM(F245:G245),0)," "," Стр. 492, Гр. 1 [C245]  д.б. = [Окр(D245+Сум(F245:G245),0)] {" &amp; ROUND(D245+SUM(F245:G245),0) &amp; "}.")," ") &amp; IFERROR(IF(H245=ROUND(I245+SUM(K245:L245),0)," "," Стр. 492, Гр. 6 [H245]  д.б. = [Окр(I245+Сум(K245:L245),0)] {" &amp; ROUND(I245+SUM(K245:L245),0) &amp; "}.")," ")</f>
        <v xml:space="preserve">  </v>
      </c>
    </row>
    <row r="246" spans="1:13" ht="30" customHeight="1" x14ac:dyDescent="0.25">
      <c r="A246" s="2" t="s">
        <v>511</v>
      </c>
      <c r="B246" s="1" t="s">
        <v>792</v>
      </c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3" t="str">
        <f>IFERROR(IF(C246=ROUND(D246+SUM(F246:G246),0)," "," Стр. 493, Гр. 1 [C246]  д.б. = [Окр(D246+Сум(F246:G246),0)] {" &amp; ROUND(D246+SUM(F246:G246),0) &amp; "}.")," ") &amp; IFERROR(IF(H246=ROUND(I246+SUM(K246:L246),0)," "," Стр. 493, Гр. 6 [H246]  д.б. = [Окр(I246+Сум(K246:L246),0)] {" &amp; ROUND(I246+SUM(K246:L246),0) &amp; "}.")," ")</f>
        <v xml:space="preserve">  </v>
      </c>
    </row>
    <row r="247" spans="1:13" ht="30" customHeight="1" x14ac:dyDescent="0.25">
      <c r="A247" s="2" t="s">
        <v>513</v>
      </c>
      <c r="B247" s="1" t="s">
        <v>793</v>
      </c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3" t="str">
        <f>IFERROR(IF(C247=ROUND(D247+SUM(F247:G247),0)," "," Стр. 494, Гр. 1 [C247]  д.б. = [Окр(D247+Сум(F247:G247),0)] {" &amp; ROUND(D247+SUM(F247:G247),0) &amp; "}.")," ") &amp; IFERROR(IF(H247=ROUND(I247+SUM(K247:L247),0)," "," Стр. 494, Гр. 6 [H247]  д.б. = [Окр(I247+Сум(K247:L247),0)] {" &amp; ROUND(I247+SUM(K247:L247),0) &amp; "}.")," ")</f>
        <v xml:space="preserve">  </v>
      </c>
    </row>
    <row r="248" spans="1:13" ht="30" customHeight="1" x14ac:dyDescent="0.25">
      <c r="A248" s="2" t="s">
        <v>515</v>
      </c>
      <c r="B248" s="1" t="s">
        <v>794</v>
      </c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3" t="str">
        <f>IFERROR(IF(C248=ROUND(D248+SUM(F248:G248),0)," "," Стр. 495, Гр. 1 [C248]  д.б. = [Окр(D248+Сум(F248:G248),0)] {" &amp; ROUND(D248+SUM(F248:G248),0) &amp; "}.")," ") &amp; IFERROR(IF(H248=ROUND(I248+SUM(K248:L248),0)," "," Стр. 495, Гр. 6 [H248]  д.б. = [Окр(I248+Сум(K248:L248),0)] {" &amp; ROUND(I248+SUM(K248:L248),0) &amp; "}.")," ")</f>
        <v xml:space="preserve">  </v>
      </c>
    </row>
    <row r="249" spans="1:13" ht="30" customHeight="1" x14ac:dyDescent="0.25">
      <c r="A249" s="2" t="s">
        <v>517</v>
      </c>
      <c r="B249" s="1" t="s">
        <v>795</v>
      </c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3" t="str">
        <f>IFERROR(IF(C249=ROUND(D249+SUM(F249:G249),0)," "," Стр. 496, Гр. 1 [C249]  д.б. = [Окр(D249+Сум(F249:G249),0)] {" &amp; ROUND(D249+SUM(F249:G249),0) &amp; "}.")," ") &amp; IFERROR(IF(H249=ROUND(I249+SUM(K249:L249),0)," "," Стр. 496, Гр. 6 [H249]  д.б. = [Окр(I249+Сум(K249:L249),0)] {" &amp; ROUND(I249+SUM(K249:L249),0) &amp; "}.")," ")</f>
        <v xml:space="preserve">  </v>
      </c>
    </row>
    <row r="250" spans="1:13" ht="30" customHeight="1" x14ac:dyDescent="0.25">
      <c r="A250" s="2" t="s">
        <v>519</v>
      </c>
      <c r="B250" s="1" t="s">
        <v>796</v>
      </c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3" t="str">
        <f>IFERROR(IF(C250=ROUND(D250+SUM(F250:G250),0)," "," Стр. 497, Гр. 1 [C250]  д.б. = [Окр(D250+Сум(F250:G250),0)] {" &amp; ROUND(D250+SUM(F250:G250),0) &amp; "}.")," ") &amp; IFERROR(IF(H250=ROUND(I250+SUM(K250:L250),0)," "," Стр. 497, Гр. 6 [H250]  д.б. = [Окр(I250+Сум(K250:L250),0)] {" &amp; ROUND(I250+SUM(K250:L250),0) &amp; "}.")," ")</f>
        <v xml:space="preserve">  </v>
      </c>
    </row>
    <row r="251" spans="1:13" ht="30" customHeight="1" x14ac:dyDescent="0.25">
      <c r="A251" s="2" t="s">
        <v>521</v>
      </c>
      <c r="B251" s="1" t="s">
        <v>797</v>
      </c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3" t="str">
        <f>IFERROR(IF(C251=ROUND(D251+SUM(F251:G251),0)," "," Стр. 498, Гр. 1 [C251]  д.б. = [Окр(D251+Сум(F251:G251),0)] {" &amp; ROUND(D251+SUM(F251:G251),0) &amp; "}.")," ") &amp; IFERROR(IF(H251=ROUND(I251+SUM(K251:L251),0)," "," Стр. 498, Гр. 6 [H251]  д.б. = [Окр(I251+Сум(K251:L251),0)] {" &amp; ROUND(I251+SUM(K251:L251),0) &amp; "}.")," ")</f>
        <v xml:space="preserve">  </v>
      </c>
    </row>
    <row r="252" spans="1:13" ht="30" customHeight="1" x14ac:dyDescent="0.25">
      <c r="A252" s="2" t="s">
        <v>523</v>
      </c>
      <c r="B252" s="1" t="s">
        <v>798</v>
      </c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3" t="str">
        <f>IFERROR(IF(C252=ROUND(D252+SUM(F252:G252),0)," "," Стр. 499, Гр. 1 [C252]  д.б. = [Окр(D252+Сум(F252:G252),0)] {" &amp; ROUND(D252+SUM(F252:G252),0) &amp; "}.")," ") &amp; IFERROR(IF(H252=ROUND(I252+SUM(K252:L252),0)," "," Стр. 499, Гр. 6 [H252]  д.б. = [Окр(I252+Сум(K252:L252),0)] {" &amp; ROUND(I252+SUM(K252:L252),0) &amp; "}.")," ")</f>
        <v xml:space="preserve">  </v>
      </c>
    </row>
    <row r="253" spans="1:13" ht="30" customHeight="1" x14ac:dyDescent="0.25">
      <c r="A253" s="2" t="s">
        <v>525</v>
      </c>
      <c r="B253" s="1" t="s">
        <v>799</v>
      </c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3" t="str">
        <f>IFERROR(IF(C253=ROUND(D253+SUM(F253:G253),0)," "," Стр. 500, Гр. 1 [C253]  д.б. = [Окр(D253+Сум(F253:G253),0)] {" &amp; ROUND(D253+SUM(F253:G253),0) &amp; "}.")," ") &amp; IFERROR(IF(H253=ROUND(I253+SUM(K253:L253),0)," "," Стр. 500, Гр. 6 [H253]  д.б. = [Окр(I253+Сум(K253:L253),0)] {" &amp; ROUND(I253+SUM(K253:L253),0) &amp; "}.")," ")</f>
        <v xml:space="preserve">  </v>
      </c>
    </row>
    <row r="254" spans="1:13" ht="30" customHeight="1" x14ac:dyDescent="0.25">
      <c r="A254" s="2" t="s">
        <v>527</v>
      </c>
      <c r="B254" s="1" t="s">
        <v>800</v>
      </c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3" t="str">
        <f>IFERROR(IF(C254=ROUND(D254+SUM(F254:G254),0)," "," Стр. 501, Гр. 1 [C254]  д.б. = [Окр(D254+Сум(F254:G254),0)] {" &amp; ROUND(D254+SUM(F254:G254),0) &amp; "}.")," ") &amp; IFERROR(IF(H254=ROUND(I254+SUM(K254:L254),0)," "," Стр. 501, Гр. 6 [H254]  д.б. = [Окр(I254+Сум(K254:L254),0)] {" &amp; ROUND(I254+SUM(K254:L254),0) &amp; "}.")," ")</f>
        <v xml:space="preserve">  </v>
      </c>
    </row>
    <row r="255" spans="1:13" ht="30" customHeight="1" x14ac:dyDescent="0.25">
      <c r="A255" s="2" t="s">
        <v>529</v>
      </c>
      <c r="B255" s="1" t="s">
        <v>801</v>
      </c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3" t="str">
        <f>IFERROR(IF(C255=ROUND(D255+SUM(F255:G255),0)," "," Стр. 502, Гр. 1 [C255]  д.б. = [Окр(D255+Сум(F255:G255),0)] {" &amp; ROUND(D255+SUM(F255:G255),0) &amp; "}.")," ") &amp; IFERROR(IF(H255=ROUND(I255+SUM(K255:L255),0)," "," Стр. 502, Гр. 6 [H255]  д.б. = [Окр(I255+Сум(K255:L255),0)] {" &amp; ROUND(I255+SUM(K255:L255),0) &amp; "}.")," ")</f>
        <v xml:space="preserve">  </v>
      </c>
    </row>
    <row r="256" spans="1:13" ht="30" customHeight="1" x14ac:dyDescent="0.25">
      <c r="A256" s="2" t="s">
        <v>531</v>
      </c>
      <c r="B256" s="1" t="s">
        <v>802</v>
      </c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3" t="str">
        <f>IFERROR(IF(C256=ROUND(D256+SUM(F256:G256),0)," "," Стр. 503, Гр. 1 [C256]  д.б. = [Окр(D256+Сум(F256:G256),0)] {" &amp; ROUND(D256+SUM(F256:G256),0) &amp; "}.")," ") &amp; IFERROR(IF(H256=ROUND(I256+SUM(K256:L256),0)," "," Стр. 503, Гр. 6 [H256]  д.б. = [Окр(I256+Сум(K256:L256),0)] {" &amp; ROUND(I256+SUM(K256:L256),0) &amp; "}.")," ")</f>
        <v xml:space="preserve">  </v>
      </c>
    </row>
    <row r="257" spans="1:13" ht="30" customHeight="1" x14ac:dyDescent="0.25">
      <c r="A257" s="2" t="s">
        <v>533</v>
      </c>
      <c r="B257" s="1" t="s">
        <v>803</v>
      </c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3" t="str">
        <f>IFERROR(IF(C257=ROUND(D257+SUM(F257:G257),0)," "," Стр. 504, Гр. 1 [C257]  д.б. = [Окр(D257+Сум(F257:G257),0)] {" &amp; ROUND(D257+SUM(F257:G257),0) &amp; "}.")," ") &amp; IFERROR(IF(H257=ROUND(I257+SUM(K257:L257),0)," "," Стр. 504, Гр. 6 [H257]  д.б. = [Окр(I257+Сум(K257:L257),0)] {" &amp; ROUND(I257+SUM(K257:L257),0) &amp; "}.")," ")</f>
        <v xml:space="preserve">  </v>
      </c>
    </row>
    <row r="258" spans="1:13" ht="30" customHeight="1" x14ac:dyDescent="0.25">
      <c r="A258" s="2" t="s">
        <v>535</v>
      </c>
      <c r="B258" s="1" t="s">
        <v>804</v>
      </c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3" t="str">
        <f>IFERROR(IF(C258=ROUND(D258+SUM(F258:G258),0)," "," Стр. 505, Гр. 1 [C258]  д.б. = [Окр(D258+Сум(F258:G258),0)] {" &amp; ROUND(D258+SUM(F258:G258),0) &amp; "}.")," ") &amp; IFERROR(IF(H258=ROUND(I258+SUM(K258:L258),0)," "," Стр. 505, Гр. 6 [H258]  д.б. = [Окр(I258+Сум(K258:L258),0)] {" &amp; ROUND(I258+SUM(K258:L258),0) &amp; "}.")," ")</f>
        <v xml:space="preserve">  </v>
      </c>
    </row>
    <row r="259" spans="1:13" ht="30" customHeight="1" x14ac:dyDescent="0.25">
      <c r="A259" s="2" t="s">
        <v>537</v>
      </c>
      <c r="B259" s="1" t="s">
        <v>805</v>
      </c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3" t="str">
        <f>IFERROR(IF(C259=ROUND(D259+SUM(F259:G259),0)," "," Стр. 506, Гр. 1 [C259]  д.б. = [Окр(D259+Сум(F259:G259),0)] {" &amp; ROUND(D259+SUM(F259:G259),0) &amp; "}.")," ") &amp; IFERROR(IF(H259=ROUND(I259+SUM(K259:L259),0)," "," Стр. 506, Гр. 6 [H259]  д.б. = [Окр(I259+Сум(K259:L259),0)] {" &amp; ROUND(I259+SUM(K259:L259),0) &amp; "}.")," ")</f>
        <v xml:space="preserve">  </v>
      </c>
    </row>
    <row r="261" spans="1:13" x14ac:dyDescent="0.25">
      <c r="A261" s="6" t="s">
        <v>539</v>
      </c>
    </row>
    <row r="262" spans="1:13" ht="75" customHeight="1" x14ac:dyDescent="0.25">
      <c r="A262" s="11" t="s">
        <v>540</v>
      </c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</row>
    <row r="263" spans="1:13" x14ac:dyDescent="0.25">
      <c r="A263" s="6" t="s">
        <v>541</v>
      </c>
    </row>
    <row r="264" spans="1:13" ht="75" customHeight="1" x14ac:dyDescent="0.25">
      <c r="A264" s="9" t="s">
        <v>1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</row>
    <row r="265" spans="1:13" x14ac:dyDescent="0.25">
      <c r="A265" s="6" t="s">
        <v>542</v>
      </c>
    </row>
    <row r="266" spans="1:13" x14ac:dyDescent="0.25">
      <c r="A266" t="s">
        <v>543</v>
      </c>
      <c r="B266" s="9" t="s">
        <v>1</v>
      </c>
      <c r="C266" s="9"/>
      <c r="D266" s="9"/>
      <c r="E266" s="9"/>
    </row>
    <row r="267" spans="1:13" x14ac:dyDescent="0.25">
      <c r="A267" t="s">
        <v>544</v>
      </c>
      <c r="B267" s="9" t="s">
        <v>1</v>
      </c>
      <c r="C267" s="9"/>
      <c r="D267" s="9"/>
      <c r="E267" s="9"/>
    </row>
    <row r="268" spans="1:13" x14ac:dyDescent="0.25">
      <c r="A268" t="s">
        <v>545</v>
      </c>
      <c r="B268" s="9" t="s">
        <v>1</v>
      </c>
      <c r="C268" s="9"/>
      <c r="D268" s="9"/>
      <c r="E268" s="9"/>
    </row>
    <row r="269" spans="1:13" x14ac:dyDescent="0.25">
      <c r="A269" t="s">
        <v>546</v>
      </c>
      <c r="B269" s="9" t="s">
        <v>1</v>
      </c>
      <c r="C269" s="9"/>
      <c r="D269" s="9"/>
      <c r="E269" s="9"/>
    </row>
    <row r="270" spans="1:13" x14ac:dyDescent="0.25">
      <c r="A270" t="s">
        <v>547</v>
      </c>
      <c r="B270" s="9" t="s">
        <v>1</v>
      </c>
      <c r="C270" s="9"/>
      <c r="D270" s="9"/>
      <c r="E270" s="9"/>
    </row>
  </sheetData>
  <sheetProtection password="CF66" sheet="1" objects="1" scenarios="1" formatColumns="0" formatRows="0"/>
  <mergeCells count="17">
    <mergeCell ref="A1:L1"/>
    <mergeCell ref="A2:A5"/>
    <mergeCell ref="B2:B5"/>
    <mergeCell ref="C2:G2"/>
    <mergeCell ref="H2:L2"/>
    <mergeCell ref="C3:C4"/>
    <mergeCell ref="D3:G3"/>
    <mergeCell ref="H3:H4"/>
    <mergeCell ref="I3:L3"/>
    <mergeCell ref="B268:E268"/>
    <mergeCell ref="B269:E269"/>
    <mergeCell ref="B270:E270"/>
    <mergeCell ref="C6:L6"/>
    <mergeCell ref="A262:L262"/>
    <mergeCell ref="A264:L264"/>
    <mergeCell ref="B266:E266"/>
    <mergeCell ref="B267:E267"/>
  </mergeCells>
  <conditionalFormatting sqref="C7">
    <cfRule type="cellIs" dxfId="530" priority="1" operator="notEqual">
      <formula>ROUND(C8+C20+C259,0)</formula>
    </cfRule>
  </conditionalFormatting>
  <conditionalFormatting sqref="C7">
    <cfRule type="cellIs" dxfId="529" priority="2" operator="notEqual">
      <formula>ROUND(D7+SUM(F7:G7),0)</formula>
    </cfRule>
  </conditionalFormatting>
  <conditionalFormatting sqref="H7">
    <cfRule type="cellIs" dxfId="528" priority="3" operator="notEqual">
      <formula>ROUND(I7+SUM(K7:L7),0)</formula>
    </cfRule>
  </conditionalFormatting>
  <conditionalFormatting sqref="C8">
    <cfRule type="cellIs" dxfId="527" priority="4" operator="notEqual">
      <formula>ROUND(D8+SUM(F8:G8),0)</formula>
    </cfRule>
  </conditionalFormatting>
  <conditionalFormatting sqref="C8">
    <cfRule type="cellIs" dxfId="526" priority="5" operator="notEqual">
      <formula>ROUND(SUM(C9:C19),0)</formula>
    </cfRule>
  </conditionalFormatting>
  <conditionalFormatting sqref="D8">
    <cfRule type="cellIs" dxfId="525" priority="6" operator="notEqual">
      <formula>ROUND(SUM(D9:D19),0)</formula>
    </cfRule>
  </conditionalFormatting>
  <conditionalFormatting sqref="E8">
    <cfRule type="cellIs" dxfId="524" priority="7" operator="notEqual">
      <formula>ROUND(SUM(E9:E19),0)</formula>
    </cfRule>
  </conditionalFormatting>
  <conditionalFormatting sqref="F8">
    <cfRule type="cellIs" dxfId="523" priority="8" operator="notEqual">
      <formula>ROUND(SUM(F9:F19),0)</formula>
    </cfRule>
  </conditionalFormatting>
  <conditionalFormatting sqref="G8">
    <cfRule type="cellIs" dxfId="522" priority="9" operator="notEqual">
      <formula>ROUND(SUM(G9:G19),0)</formula>
    </cfRule>
  </conditionalFormatting>
  <conditionalFormatting sqref="H8">
    <cfRule type="cellIs" dxfId="521" priority="10" operator="notEqual">
      <formula>ROUND(I8+SUM(K8:L8),0)</formula>
    </cfRule>
  </conditionalFormatting>
  <conditionalFormatting sqref="H8">
    <cfRule type="cellIs" dxfId="520" priority="11" operator="notEqual">
      <formula>ROUND(SUM(H9:H19),0)</formula>
    </cfRule>
  </conditionalFormatting>
  <conditionalFormatting sqref="I8">
    <cfRule type="cellIs" dxfId="519" priority="12" operator="notEqual">
      <formula>ROUND(SUM(I9:I19),0)</formula>
    </cfRule>
  </conditionalFormatting>
  <conditionalFormatting sqref="J8">
    <cfRule type="cellIs" dxfId="518" priority="13" operator="notEqual">
      <formula>ROUND(SUM(J9:J19),0)</formula>
    </cfRule>
  </conditionalFormatting>
  <conditionalFormatting sqref="K8">
    <cfRule type="cellIs" dxfId="517" priority="14" operator="notEqual">
      <formula>ROUND(SUM(K9:K19),0)</formula>
    </cfRule>
  </conditionalFormatting>
  <conditionalFormatting sqref="L8">
    <cfRule type="cellIs" dxfId="516" priority="15" operator="notEqual">
      <formula>ROUND(SUM(L9:L19),0)</formula>
    </cfRule>
  </conditionalFormatting>
  <conditionalFormatting sqref="C9">
    <cfRule type="cellIs" dxfId="515" priority="16" operator="notEqual">
      <formula>ROUND(D9+SUM(F9:G9),0)</formula>
    </cfRule>
  </conditionalFormatting>
  <conditionalFormatting sqref="H9">
    <cfRule type="cellIs" dxfId="514" priority="17" operator="notEqual">
      <formula>ROUND(I9+SUM(K9:L9),0)</formula>
    </cfRule>
  </conditionalFormatting>
  <conditionalFormatting sqref="C10">
    <cfRule type="cellIs" dxfId="513" priority="18" operator="notEqual">
      <formula>ROUND(D10+SUM(F10:G10),0)</formula>
    </cfRule>
  </conditionalFormatting>
  <conditionalFormatting sqref="H10">
    <cfRule type="cellIs" dxfId="512" priority="19" operator="notEqual">
      <formula>ROUND(I10+SUM(K10:L10),0)</formula>
    </cfRule>
  </conditionalFormatting>
  <conditionalFormatting sqref="C11">
    <cfRule type="cellIs" dxfId="511" priority="20" operator="notEqual">
      <formula>ROUND(D11+SUM(F11:G11),0)</formula>
    </cfRule>
  </conditionalFormatting>
  <conditionalFormatting sqref="H11">
    <cfRule type="cellIs" dxfId="510" priority="21" operator="notEqual">
      <formula>ROUND(I11+SUM(K11:L11),0)</formula>
    </cfRule>
  </conditionalFormatting>
  <conditionalFormatting sqref="C12">
    <cfRule type="cellIs" dxfId="509" priority="22" operator="notEqual">
      <formula>ROUND(D12+SUM(F12:G12),0)</formula>
    </cfRule>
  </conditionalFormatting>
  <conditionalFormatting sqref="H12">
    <cfRule type="cellIs" dxfId="508" priority="23" operator="notEqual">
      <formula>ROUND(I12+SUM(K12:L12),0)</formula>
    </cfRule>
  </conditionalFormatting>
  <conditionalFormatting sqref="C13">
    <cfRule type="cellIs" dxfId="507" priority="24" operator="notEqual">
      <formula>ROUND(D13+SUM(F13:G13),0)</formula>
    </cfRule>
  </conditionalFormatting>
  <conditionalFormatting sqref="H13">
    <cfRule type="cellIs" dxfId="506" priority="25" operator="notEqual">
      <formula>ROUND(I13+SUM(K13:L13),0)</formula>
    </cfRule>
  </conditionalFormatting>
  <conditionalFormatting sqref="C14">
    <cfRule type="cellIs" dxfId="505" priority="26" operator="notEqual">
      <formula>ROUND(D14+SUM(F14:G14),0)</formula>
    </cfRule>
  </conditionalFormatting>
  <conditionalFormatting sqref="H14">
    <cfRule type="cellIs" dxfId="504" priority="27" operator="notEqual">
      <formula>ROUND(I14+SUM(K14:L14),0)</formula>
    </cfRule>
  </conditionalFormatting>
  <conditionalFormatting sqref="C15">
    <cfRule type="cellIs" dxfId="503" priority="28" operator="notEqual">
      <formula>ROUND(D15+SUM(F15:G15),0)</formula>
    </cfRule>
  </conditionalFormatting>
  <conditionalFormatting sqref="H15">
    <cfRule type="cellIs" dxfId="502" priority="29" operator="notEqual">
      <formula>ROUND(I15+SUM(K15:L15),0)</formula>
    </cfRule>
  </conditionalFormatting>
  <conditionalFormatting sqref="C16">
    <cfRule type="cellIs" dxfId="501" priority="30" operator="notEqual">
      <formula>ROUND(D16+SUM(F16:G16),0)</formula>
    </cfRule>
  </conditionalFormatting>
  <conditionalFormatting sqref="H16">
    <cfRule type="cellIs" dxfId="500" priority="31" operator="notEqual">
      <formula>ROUND(I16+SUM(K16:L16),0)</formula>
    </cfRule>
  </conditionalFormatting>
  <conditionalFormatting sqref="C17">
    <cfRule type="cellIs" dxfId="499" priority="32" operator="notEqual">
      <formula>ROUND(D17+SUM(F17:G17),0)</formula>
    </cfRule>
  </conditionalFormatting>
  <conditionalFormatting sqref="H17">
    <cfRule type="cellIs" dxfId="498" priority="33" operator="notEqual">
      <formula>ROUND(I17+SUM(K17:L17),0)</formula>
    </cfRule>
  </conditionalFormatting>
  <conditionalFormatting sqref="C18">
    <cfRule type="cellIs" dxfId="497" priority="34" operator="notEqual">
      <formula>ROUND(D18+SUM(F18:G18),0)</formula>
    </cfRule>
  </conditionalFormatting>
  <conditionalFormatting sqref="H18">
    <cfRule type="cellIs" dxfId="496" priority="35" operator="notEqual">
      <formula>ROUND(I18+SUM(K18:L18),0)</formula>
    </cfRule>
  </conditionalFormatting>
  <conditionalFormatting sqref="C19">
    <cfRule type="cellIs" dxfId="495" priority="36" operator="notEqual">
      <formula>ROUND(D19+SUM(F19:G19),0)</formula>
    </cfRule>
  </conditionalFormatting>
  <conditionalFormatting sqref="H19">
    <cfRule type="cellIs" dxfId="494" priority="37" operator="notEqual">
      <formula>ROUND(I19+SUM(K19:L19),0)</formula>
    </cfRule>
  </conditionalFormatting>
  <conditionalFormatting sqref="C20">
    <cfRule type="cellIs" dxfId="493" priority="38" operator="notEqual">
      <formula>ROUND(D20+SUM(F20:G20),0)</formula>
    </cfRule>
  </conditionalFormatting>
  <conditionalFormatting sqref="C20">
    <cfRule type="cellIs" dxfId="492" priority="39" operator="notEqual">
      <formula>ROUND(SUM(C21:C258),0)</formula>
    </cfRule>
  </conditionalFormatting>
  <conditionalFormatting sqref="D20">
    <cfRule type="cellIs" dxfId="491" priority="40" operator="notEqual">
      <formula>ROUND(SUM(D21:D258),0)</formula>
    </cfRule>
  </conditionalFormatting>
  <conditionalFormatting sqref="E20">
    <cfRule type="cellIs" dxfId="490" priority="41" operator="notEqual">
      <formula>ROUND(SUM(E21:E258),0)</formula>
    </cfRule>
  </conditionalFormatting>
  <conditionalFormatting sqref="F20">
    <cfRule type="cellIs" dxfId="489" priority="42" operator="notEqual">
      <formula>ROUND(SUM(F21:F258),0)</formula>
    </cfRule>
  </conditionalFormatting>
  <conditionalFormatting sqref="G20">
    <cfRule type="cellIs" dxfId="488" priority="43" operator="notEqual">
      <formula>ROUND(SUM(G21:G258),0)</formula>
    </cfRule>
  </conditionalFormatting>
  <conditionalFormatting sqref="H20">
    <cfRule type="cellIs" dxfId="487" priority="44" operator="notEqual">
      <formula>ROUND(I20+SUM(K20:L20),0)</formula>
    </cfRule>
  </conditionalFormatting>
  <conditionalFormatting sqref="H20">
    <cfRule type="cellIs" dxfId="486" priority="45" operator="notEqual">
      <formula>ROUND(SUM(H21:H258),0)</formula>
    </cfRule>
  </conditionalFormatting>
  <conditionalFormatting sqref="I20">
    <cfRule type="cellIs" dxfId="485" priority="46" operator="notEqual">
      <formula>ROUND(SUM(I21:I258),0)</formula>
    </cfRule>
  </conditionalFormatting>
  <conditionalFormatting sqref="J20">
    <cfRule type="cellIs" dxfId="484" priority="47" operator="notEqual">
      <formula>ROUND(SUM(J21:J258),0)</formula>
    </cfRule>
  </conditionalFormatting>
  <conditionalFormatting sqref="K20">
    <cfRule type="cellIs" dxfId="483" priority="48" operator="notEqual">
      <formula>ROUND(SUM(K21:K258),0)</formula>
    </cfRule>
  </conditionalFormatting>
  <conditionalFormatting sqref="L20">
    <cfRule type="cellIs" dxfId="482" priority="49" operator="notEqual">
      <formula>ROUND(SUM(L21:L258),0)</formula>
    </cfRule>
  </conditionalFormatting>
  <conditionalFormatting sqref="C21">
    <cfRule type="cellIs" dxfId="481" priority="50" operator="notEqual">
      <formula>ROUND(D21+SUM(F21:G21),0)</formula>
    </cfRule>
  </conditionalFormatting>
  <conditionalFormatting sqref="H21">
    <cfRule type="cellIs" dxfId="480" priority="51" operator="notEqual">
      <formula>ROUND(I21+SUM(K21:L21),0)</formula>
    </cfRule>
  </conditionalFormatting>
  <conditionalFormatting sqref="C22">
    <cfRule type="cellIs" dxfId="479" priority="52" operator="notEqual">
      <formula>ROUND(D22+SUM(F22:G22),0)</formula>
    </cfRule>
  </conditionalFormatting>
  <conditionalFormatting sqref="H22">
    <cfRule type="cellIs" dxfId="478" priority="53" operator="notEqual">
      <formula>ROUND(I22+SUM(K22:L22),0)</formula>
    </cfRule>
  </conditionalFormatting>
  <conditionalFormatting sqref="C23">
    <cfRule type="cellIs" dxfId="477" priority="54" operator="notEqual">
      <formula>ROUND(D23+SUM(F23:G23),0)</formula>
    </cfRule>
  </conditionalFormatting>
  <conditionalFormatting sqref="H23">
    <cfRule type="cellIs" dxfId="476" priority="55" operator="notEqual">
      <formula>ROUND(I23+SUM(K23:L23),0)</formula>
    </cfRule>
  </conditionalFormatting>
  <conditionalFormatting sqref="C24">
    <cfRule type="cellIs" dxfId="475" priority="56" operator="notEqual">
      <formula>ROUND(D24+SUM(F24:G24),0)</formula>
    </cfRule>
  </conditionalFormatting>
  <conditionalFormatting sqref="H24">
    <cfRule type="cellIs" dxfId="474" priority="57" operator="notEqual">
      <formula>ROUND(I24+SUM(K24:L24),0)</formula>
    </cfRule>
  </conditionalFormatting>
  <conditionalFormatting sqref="C25">
    <cfRule type="cellIs" dxfId="473" priority="58" operator="notEqual">
      <formula>ROUND(D25+SUM(F25:G25),0)</formula>
    </cfRule>
  </conditionalFormatting>
  <conditionalFormatting sqref="H25">
    <cfRule type="cellIs" dxfId="472" priority="59" operator="notEqual">
      <formula>ROUND(I25+SUM(K25:L25),0)</formula>
    </cfRule>
  </conditionalFormatting>
  <conditionalFormatting sqref="C26">
    <cfRule type="cellIs" dxfId="471" priority="60" operator="notEqual">
      <formula>ROUND(D26+SUM(F26:G26),0)</formula>
    </cfRule>
  </conditionalFormatting>
  <conditionalFormatting sqref="H26">
    <cfRule type="cellIs" dxfId="470" priority="61" operator="notEqual">
      <formula>ROUND(I26+SUM(K26:L26),0)</formula>
    </cfRule>
  </conditionalFormatting>
  <conditionalFormatting sqref="C27">
    <cfRule type="cellIs" dxfId="469" priority="62" operator="notEqual">
      <formula>ROUND(D27+SUM(F27:G27),0)</formula>
    </cfRule>
  </conditionalFormatting>
  <conditionalFormatting sqref="H27">
    <cfRule type="cellIs" dxfId="468" priority="63" operator="notEqual">
      <formula>ROUND(I27+SUM(K27:L27),0)</formula>
    </cfRule>
  </conditionalFormatting>
  <conditionalFormatting sqref="C28">
    <cfRule type="cellIs" dxfId="467" priority="64" operator="notEqual">
      <formula>ROUND(D28+SUM(F28:G28),0)</formula>
    </cfRule>
  </conditionalFormatting>
  <conditionalFormatting sqref="H28">
    <cfRule type="cellIs" dxfId="466" priority="65" operator="notEqual">
      <formula>ROUND(I28+SUM(K28:L28),0)</formula>
    </cfRule>
  </conditionalFormatting>
  <conditionalFormatting sqref="C29">
    <cfRule type="cellIs" dxfId="465" priority="66" operator="notEqual">
      <formula>ROUND(D29+SUM(F29:G29),0)</formula>
    </cfRule>
  </conditionalFormatting>
  <conditionalFormatting sqref="H29">
    <cfRule type="cellIs" dxfId="464" priority="67" operator="notEqual">
      <formula>ROUND(I29+SUM(K29:L29),0)</formula>
    </cfRule>
  </conditionalFormatting>
  <conditionalFormatting sqref="C30">
    <cfRule type="cellIs" dxfId="463" priority="68" operator="notEqual">
      <formula>ROUND(D30+SUM(F30:G30),0)</formula>
    </cfRule>
  </conditionalFormatting>
  <conditionalFormatting sqref="H30">
    <cfRule type="cellIs" dxfId="462" priority="69" operator="notEqual">
      <formula>ROUND(I30+SUM(K30:L30),0)</formula>
    </cfRule>
  </conditionalFormatting>
  <conditionalFormatting sqref="C31">
    <cfRule type="cellIs" dxfId="461" priority="70" operator="notEqual">
      <formula>ROUND(D31+SUM(F31:G31),0)</formula>
    </cfRule>
  </conditionalFormatting>
  <conditionalFormatting sqref="H31">
    <cfRule type="cellIs" dxfId="460" priority="71" operator="notEqual">
      <formula>ROUND(I31+SUM(K31:L31),0)</formula>
    </cfRule>
  </conditionalFormatting>
  <conditionalFormatting sqref="C32">
    <cfRule type="cellIs" dxfId="459" priority="72" operator="notEqual">
      <formula>ROUND(D32+SUM(F32:G32),0)</formula>
    </cfRule>
  </conditionalFormatting>
  <conditionalFormatting sqref="H32">
    <cfRule type="cellIs" dxfId="458" priority="73" operator="notEqual">
      <formula>ROUND(I32+SUM(K32:L32),0)</formula>
    </cfRule>
  </conditionalFormatting>
  <conditionalFormatting sqref="C33">
    <cfRule type="cellIs" dxfId="457" priority="74" operator="notEqual">
      <formula>ROUND(D33+SUM(F33:G33),0)</formula>
    </cfRule>
  </conditionalFormatting>
  <conditionalFormatting sqref="H33">
    <cfRule type="cellIs" dxfId="456" priority="75" operator="notEqual">
      <formula>ROUND(I33+SUM(K33:L33),0)</formula>
    </cfRule>
  </conditionalFormatting>
  <conditionalFormatting sqref="C34">
    <cfRule type="cellIs" dxfId="455" priority="76" operator="notEqual">
      <formula>ROUND(D34+SUM(F34:G34),0)</formula>
    </cfRule>
  </conditionalFormatting>
  <conditionalFormatting sqref="H34">
    <cfRule type="cellIs" dxfId="454" priority="77" operator="notEqual">
      <formula>ROUND(I34+SUM(K34:L34),0)</formula>
    </cfRule>
  </conditionalFormatting>
  <conditionalFormatting sqref="C35">
    <cfRule type="cellIs" dxfId="453" priority="78" operator="notEqual">
      <formula>ROUND(D35+SUM(F35:G35),0)</formula>
    </cfRule>
  </conditionalFormatting>
  <conditionalFormatting sqref="H35">
    <cfRule type="cellIs" dxfId="452" priority="79" operator="notEqual">
      <formula>ROUND(I35+SUM(K35:L35),0)</formula>
    </cfRule>
  </conditionalFormatting>
  <conditionalFormatting sqref="C36">
    <cfRule type="cellIs" dxfId="451" priority="80" operator="notEqual">
      <formula>ROUND(D36+SUM(F36:G36),0)</formula>
    </cfRule>
  </conditionalFormatting>
  <conditionalFormatting sqref="H36">
    <cfRule type="cellIs" dxfId="450" priority="81" operator="notEqual">
      <formula>ROUND(I36+SUM(K36:L36),0)</formula>
    </cfRule>
  </conditionalFormatting>
  <conditionalFormatting sqref="C37">
    <cfRule type="cellIs" dxfId="449" priority="82" operator="notEqual">
      <formula>ROUND(D37+SUM(F37:G37),0)</formula>
    </cfRule>
  </conditionalFormatting>
  <conditionalFormatting sqref="H37">
    <cfRule type="cellIs" dxfId="448" priority="83" operator="notEqual">
      <formula>ROUND(I37+SUM(K37:L37),0)</formula>
    </cfRule>
  </conditionalFormatting>
  <conditionalFormatting sqref="C38">
    <cfRule type="cellIs" dxfId="447" priority="84" operator="notEqual">
      <formula>ROUND(D38+SUM(F38:G38),0)</formula>
    </cfRule>
  </conditionalFormatting>
  <conditionalFormatting sqref="H38">
    <cfRule type="cellIs" dxfId="446" priority="85" operator="notEqual">
      <formula>ROUND(I38+SUM(K38:L38),0)</formula>
    </cfRule>
  </conditionalFormatting>
  <conditionalFormatting sqref="C39">
    <cfRule type="cellIs" dxfId="445" priority="86" operator="notEqual">
      <formula>ROUND(D39+SUM(F39:G39),0)</formula>
    </cfRule>
  </conditionalFormatting>
  <conditionalFormatting sqref="H39">
    <cfRule type="cellIs" dxfId="444" priority="87" operator="notEqual">
      <formula>ROUND(I39+SUM(K39:L39),0)</formula>
    </cfRule>
  </conditionalFormatting>
  <conditionalFormatting sqref="C40">
    <cfRule type="cellIs" dxfId="443" priority="88" operator="notEqual">
      <formula>ROUND(D40+SUM(F40:G40),0)</formula>
    </cfRule>
  </conditionalFormatting>
  <conditionalFormatting sqref="H40">
    <cfRule type="cellIs" dxfId="442" priority="89" operator="notEqual">
      <formula>ROUND(I40+SUM(K40:L40),0)</formula>
    </cfRule>
  </conditionalFormatting>
  <conditionalFormatting sqref="C41">
    <cfRule type="cellIs" dxfId="441" priority="90" operator="notEqual">
      <formula>ROUND(D41+SUM(F41:G41),0)</formula>
    </cfRule>
  </conditionalFormatting>
  <conditionalFormatting sqref="H41">
    <cfRule type="cellIs" dxfId="440" priority="91" operator="notEqual">
      <formula>ROUND(I41+SUM(K41:L41),0)</formula>
    </cfRule>
  </conditionalFormatting>
  <conditionalFormatting sqref="C42">
    <cfRule type="cellIs" dxfId="439" priority="92" operator="notEqual">
      <formula>ROUND(D42+SUM(F42:G42),0)</formula>
    </cfRule>
  </conditionalFormatting>
  <conditionalFormatting sqref="H42">
    <cfRule type="cellIs" dxfId="438" priority="93" operator="notEqual">
      <formula>ROUND(I42+SUM(K42:L42),0)</formula>
    </cfRule>
  </conditionalFormatting>
  <conditionalFormatting sqref="C43">
    <cfRule type="cellIs" dxfId="437" priority="94" operator="notEqual">
      <formula>ROUND(D43+SUM(F43:G43),0)</formula>
    </cfRule>
  </conditionalFormatting>
  <conditionalFormatting sqref="H43">
    <cfRule type="cellIs" dxfId="436" priority="95" operator="notEqual">
      <formula>ROUND(I43+SUM(K43:L43),0)</formula>
    </cfRule>
  </conditionalFormatting>
  <conditionalFormatting sqref="C44">
    <cfRule type="cellIs" dxfId="435" priority="96" operator="notEqual">
      <formula>ROUND(D44+SUM(F44:G44),0)</formula>
    </cfRule>
  </conditionalFormatting>
  <conditionalFormatting sqref="H44">
    <cfRule type="cellIs" dxfId="434" priority="97" operator="notEqual">
      <formula>ROUND(I44+SUM(K44:L44),0)</formula>
    </cfRule>
  </conditionalFormatting>
  <conditionalFormatting sqref="C45">
    <cfRule type="cellIs" dxfId="433" priority="98" operator="notEqual">
      <formula>ROUND(D45+SUM(F45:G45),0)</formula>
    </cfRule>
  </conditionalFormatting>
  <conditionalFormatting sqref="H45">
    <cfRule type="cellIs" dxfId="432" priority="99" operator="notEqual">
      <formula>ROUND(I45+SUM(K45:L45),0)</formula>
    </cfRule>
  </conditionalFormatting>
  <conditionalFormatting sqref="C46">
    <cfRule type="cellIs" dxfId="431" priority="100" operator="notEqual">
      <formula>ROUND(D46+SUM(F46:G46),0)</formula>
    </cfRule>
  </conditionalFormatting>
  <conditionalFormatting sqref="H46">
    <cfRule type="cellIs" dxfId="430" priority="101" operator="notEqual">
      <formula>ROUND(I46+SUM(K46:L46),0)</formula>
    </cfRule>
  </conditionalFormatting>
  <conditionalFormatting sqref="C47">
    <cfRule type="cellIs" dxfId="429" priority="102" operator="notEqual">
      <formula>ROUND(D47+SUM(F47:G47),0)</formula>
    </cfRule>
  </conditionalFormatting>
  <conditionalFormatting sqref="H47">
    <cfRule type="cellIs" dxfId="428" priority="103" operator="notEqual">
      <formula>ROUND(I47+SUM(K47:L47),0)</formula>
    </cfRule>
  </conditionalFormatting>
  <conditionalFormatting sqref="C48">
    <cfRule type="cellIs" dxfId="427" priority="104" operator="notEqual">
      <formula>ROUND(D48+SUM(F48:G48),0)</formula>
    </cfRule>
  </conditionalFormatting>
  <conditionalFormatting sqref="H48">
    <cfRule type="cellIs" dxfId="426" priority="105" operator="notEqual">
      <formula>ROUND(I48+SUM(K48:L48),0)</formula>
    </cfRule>
  </conditionalFormatting>
  <conditionalFormatting sqref="C49">
    <cfRule type="cellIs" dxfId="425" priority="106" operator="notEqual">
      <formula>ROUND(D49+SUM(F49:G49),0)</formula>
    </cfRule>
  </conditionalFormatting>
  <conditionalFormatting sqref="H49">
    <cfRule type="cellIs" dxfId="424" priority="107" operator="notEqual">
      <formula>ROUND(I49+SUM(K49:L49),0)</formula>
    </cfRule>
  </conditionalFormatting>
  <conditionalFormatting sqref="C50">
    <cfRule type="cellIs" dxfId="423" priority="108" operator="notEqual">
      <formula>ROUND(D50+SUM(F50:G50),0)</formula>
    </cfRule>
  </conditionalFormatting>
  <conditionalFormatting sqref="H50">
    <cfRule type="cellIs" dxfId="422" priority="109" operator="notEqual">
      <formula>ROUND(I50+SUM(K50:L50),0)</formula>
    </cfRule>
  </conditionalFormatting>
  <conditionalFormatting sqref="C51">
    <cfRule type="cellIs" dxfId="421" priority="110" operator="notEqual">
      <formula>ROUND(D51+SUM(F51:G51),0)</formula>
    </cfRule>
  </conditionalFormatting>
  <conditionalFormatting sqref="H51">
    <cfRule type="cellIs" dxfId="420" priority="111" operator="notEqual">
      <formula>ROUND(I51+SUM(K51:L51),0)</formula>
    </cfRule>
  </conditionalFormatting>
  <conditionalFormatting sqref="C52">
    <cfRule type="cellIs" dxfId="419" priority="112" operator="notEqual">
      <formula>ROUND(D52+SUM(F52:G52),0)</formula>
    </cfRule>
  </conditionalFormatting>
  <conditionalFormatting sqref="H52">
    <cfRule type="cellIs" dxfId="418" priority="113" operator="notEqual">
      <formula>ROUND(I52+SUM(K52:L52),0)</formula>
    </cfRule>
  </conditionalFormatting>
  <conditionalFormatting sqref="C53">
    <cfRule type="cellIs" dxfId="417" priority="114" operator="notEqual">
      <formula>ROUND(D53+SUM(F53:G53),0)</formula>
    </cfRule>
  </conditionalFormatting>
  <conditionalFormatting sqref="H53">
    <cfRule type="cellIs" dxfId="416" priority="115" operator="notEqual">
      <formula>ROUND(I53+SUM(K53:L53),0)</formula>
    </cfRule>
  </conditionalFormatting>
  <conditionalFormatting sqref="C54">
    <cfRule type="cellIs" dxfId="415" priority="116" operator="notEqual">
      <formula>ROUND(D54+SUM(F54:G54),0)</formula>
    </cfRule>
  </conditionalFormatting>
  <conditionalFormatting sqref="H54">
    <cfRule type="cellIs" dxfId="414" priority="117" operator="notEqual">
      <formula>ROUND(I54+SUM(K54:L54),0)</formula>
    </cfRule>
  </conditionalFormatting>
  <conditionalFormatting sqref="C55">
    <cfRule type="cellIs" dxfId="413" priority="118" operator="notEqual">
      <formula>ROUND(D55+SUM(F55:G55),0)</formula>
    </cfRule>
  </conditionalFormatting>
  <conditionalFormatting sqref="H55">
    <cfRule type="cellIs" dxfId="412" priority="119" operator="notEqual">
      <formula>ROUND(I55+SUM(K55:L55),0)</formula>
    </cfRule>
  </conditionalFormatting>
  <conditionalFormatting sqref="C56">
    <cfRule type="cellIs" dxfId="411" priority="120" operator="notEqual">
      <formula>ROUND(D56+SUM(F56:G56),0)</formula>
    </cfRule>
  </conditionalFormatting>
  <conditionalFormatting sqref="H56">
    <cfRule type="cellIs" dxfId="410" priority="121" operator="notEqual">
      <formula>ROUND(I56+SUM(K56:L56),0)</formula>
    </cfRule>
  </conditionalFormatting>
  <conditionalFormatting sqref="C57">
    <cfRule type="cellIs" dxfId="409" priority="122" operator="notEqual">
      <formula>ROUND(D57+SUM(F57:G57),0)</formula>
    </cfRule>
  </conditionalFormatting>
  <conditionalFormatting sqref="H57">
    <cfRule type="cellIs" dxfId="408" priority="123" operator="notEqual">
      <formula>ROUND(I57+SUM(K57:L57),0)</formula>
    </cfRule>
  </conditionalFormatting>
  <conditionalFormatting sqref="C58">
    <cfRule type="cellIs" dxfId="407" priority="124" operator="notEqual">
      <formula>ROUND(D58+SUM(F58:G58),0)</formula>
    </cfRule>
  </conditionalFormatting>
  <conditionalFormatting sqref="H58">
    <cfRule type="cellIs" dxfId="406" priority="125" operator="notEqual">
      <formula>ROUND(I58+SUM(K58:L58),0)</formula>
    </cfRule>
  </conditionalFormatting>
  <conditionalFormatting sqref="C59">
    <cfRule type="cellIs" dxfId="405" priority="126" operator="notEqual">
      <formula>ROUND(D59+SUM(F59:G59),0)</formula>
    </cfRule>
  </conditionalFormatting>
  <conditionalFormatting sqref="H59">
    <cfRule type="cellIs" dxfId="404" priority="127" operator="notEqual">
      <formula>ROUND(I59+SUM(K59:L59),0)</formula>
    </cfRule>
  </conditionalFormatting>
  <conditionalFormatting sqref="C60">
    <cfRule type="cellIs" dxfId="403" priority="128" operator="notEqual">
      <formula>ROUND(D60+SUM(F60:G60),0)</formula>
    </cfRule>
  </conditionalFormatting>
  <conditionalFormatting sqref="H60">
    <cfRule type="cellIs" dxfId="402" priority="129" operator="notEqual">
      <formula>ROUND(I60+SUM(K60:L60),0)</formula>
    </cfRule>
  </conditionalFormatting>
  <conditionalFormatting sqref="C61">
    <cfRule type="cellIs" dxfId="401" priority="130" operator="notEqual">
      <formula>ROUND(D61+SUM(F61:G61),0)</formula>
    </cfRule>
  </conditionalFormatting>
  <conditionalFormatting sqref="H61">
    <cfRule type="cellIs" dxfId="400" priority="131" operator="notEqual">
      <formula>ROUND(I61+SUM(K61:L61),0)</formula>
    </cfRule>
  </conditionalFormatting>
  <conditionalFormatting sqref="C62">
    <cfRule type="cellIs" dxfId="399" priority="132" operator="notEqual">
      <formula>ROUND(D62+SUM(F62:G62),0)</formula>
    </cfRule>
  </conditionalFormatting>
  <conditionalFormatting sqref="H62">
    <cfRule type="cellIs" dxfId="398" priority="133" operator="notEqual">
      <formula>ROUND(I62+SUM(K62:L62),0)</formula>
    </cfRule>
  </conditionalFormatting>
  <conditionalFormatting sqref="C63">
    <cfRule type="cellIs" dxfId="397" priority="134" operator="notEqual">
      <formula>ROUND(D63+SUM(F63:G63),0)</formula>
    </cfRule>
  </conditionalFormatting>
  <conditionalFormatting sqref="H63">
    <cfRule type="cellIs" dxfId="396" priority="135" operator="notEqual">
      <formula>ROUND(I63+SUM(K63:L63),0)</formula>
    </cfRule>
  </conditionalFormatting>
  <conditionalFormatting sqref="C64">
    <cfRule type="cellIs" dxfId="395" priority="136" operator="notEqual">
      <formula>ROUND(D64+SUM(F64:G64),0)</formula>
    </cfRule>
  </conditionalFormatting>
  <conditionalFormatting sqref="H64">
    <cfRule type="cellIs" dxfId="394" priority="137" operator="notEqual">
      <formula>ROUND(I64+SUM(K64:L64),0)</formula>
    </cfRule>
  </conditionalFormatting>
  <conditionalFormatting sqref="C65">
    <cfRule type="cellIs" dxfId="393" priority="138" operator="notEqual">
      <formula>ROUND(D65+SUM(F65:G65),0)</formula>
    </cfRule>
  </conditionalFormatting>
  <conditionalFormatting sqref="H65">
    <cfRule type="cellIs" dxfId="392" priority="139" operator="notEqual">
      <formula>ROUND(I65+SUM(K65:L65),0)</formula>
    </cfRule>
  </conditionalFormatting>
  <conditionalFormatting sqref="C66">
    <cfRule type="cellIs" dxfId="391" priority="140" operator="notEqual">
      <formula>ROUND(D66+SUM(F66:G66),0)</formula>
    </cfRule>
  </conditionalFormatting>
  <conditionalFormatting sqref="H66">
    <cfRule type="cellIs" dxfId="390" priority="141" operator="notEqual">
      <formula>ROUND(I66+SUM(K66:L66),0)</formula>
    </cfRule>
  </conditionalFormatting>
  <conditionalFormatting sqref="C67">
    <cfRule type="cellIs" dxfId="389" priority="142" operator="notEqual">
      <formula>ROUND(D67+SUM(F67:G67),0)</formula>
    </cfRule>
  </conditionalFormatting>
  <conditionalFormatting sqref="H67">
    <cfRule type="cellIs" dxfId="388" priority="143" operator="notEqual">
      <formula>ROUND(I67+SUM(K67:L67),0)</formula>
    </cfRule>
  </conditionalFormatting>
  <conditionalFormatting sqref="C68">
    <cfRule type="cellIs" dxfId="387" priority="144" operator="notEqual">
      <formula>ROUND(D68+SUM(F68:G68),0)</formula>
    </cfRule>
  </conditionalFormatting>
  <conditionalFormatting sqref="H68">
    <cfRule type="cellIs" dxfId="386" priority="145" operator="notEqual">
      <formula>ROUND(I68+SUM(K68:L68),0)</formula>
    </cfRule>
  </conditionalFormatting>
  <conditionalFormatting sqref="C69">
    <cfRule type="cellIs" dxfId="385" priority="146" operator="notEqual">
      <formula>ROUND(D69+SUM(F69:G69),0)</formula>
    </cfRule>
  </conditionalFormatting>
  <conditionalFormatting sqref="H69">
    <cfRule type="cellIs" dxfId="384" priority="147" operator="notEqual">
      <formula>ROUND(I69+SUM(K69:L69),0)</formula>
    </cfRule>
  </conditionalFormatting>
  <conditionalFormatting sqref="C70">
    <cfRule type="cellIs" dxfId="383" priority="148" operator="notEqual">
      <formula>ROUND(D70+SUM(F70:G70),0)</formula>
    </cfRule>
  </conditionalFormatting>
  <conditionalFormatting sqref="H70">
    <cfRule type="cellIs" dxfId="382" priority="149" operator="notEqual">
      <formula>ROUND(I70+SUM(K70:L70),0)</formula>
    </cfRule>
  </conditionalFormatting>
  <conditionalFormatting sqref="C71">
    <cfRule type="cellIs" dxfId="381" priority="150" operator="notEqual">
      <formula>ROUND(D71+SUM(F71:G71),0)</formula>
    </cfRule>
  </conditionalFormatting>
  <conditionalFormatting sqref="H71">
    <cfRule type="cellIs" dxfId="380" priority="151" operator="notEqual">
      <formula>ROUND(I71+SUM(K71:L71),0)</formula>
    </cfRule>
  </conditionalFormatting>
  <conditionalFormatting sqref="C72">
    <cfRule type="cellIs" dxfId="379" priority="152" operator="notEqual">
      <formula>ROUND(D72+SUM(F72:G72),0)</formula>
    </cfRule>
  </conditionalFormatting>
  <conditionalFormatting sqref="H72">
    <cfRule type="cellIs" dxfId="378" priority="153" operator="notEqual">
      <formula>ROUND(I72+SUM(K72:L72),0)</formula>
    </cfRule>
  </conditionalFormatting>
  <conditionalFormatting sqref="C73">
    <cfRule type="cellIs" dxfId="377" priority="154" operator="notEqual">
      <formula>ROUND(D73+SUM(F73:G73),0)</formula>
    </cfRule>
  </conditionalFormatting>
  <conditionalFormatting sqref="H73">
    <cfRule type="cellIs" dxfId="376" priority="155" operator="notEqual">
      <formula>ROUND(I73+SUM(K73:L73),0)</formula>
    </cfRule>
  </conditionalFormatting>
  <conditionalFormatting sqref="C74">
    <cfRule type="cellIs" dxfId="375" priority="156" operator="notEqual">
      <formula>ROUND(D74+SUM(F74:G74),0)</formula>
    </cfRule>
  </conditionalFormatting>
  <conditionalFormatting sqref="H74">
    <cfRule type="cellIs" dxfId="374" priority="157" operator="notEqual">
      <formula>ROUND(I74+SUM(K74:L74),0)</formula>
    </cfRule>
  </conditionalFormatting>
  <conditionalFormatting sqref="C75">
    <cfRule type="cellIs" dxfId="373" priority="158" operator="notEqual">
      <formula>ROUND(D75+SUM(F75:G75),0)</formula>
    </cfRule>
  </conditionalFormatting>
  <conditionalFormatting sqref="H75">
    <cfRule type="cellIs" dxfId="372" priority="159" operator="notEqual">
      <formula>ROUND(I75+SUM(K75:L75),0)</formula>
    </cfRule>
  </conditionalFormatting>
  <conditionalFormatting sqref="C76">
    <cfRule type="cellIs" dxfId="371" priority="160" operator="notEqual">
      <formula>ROUND(D76+SUM(F76:G76),0)</formula>
    </cfRule>
  </conditionalFormatting>
  <conditionalFormatting sqref="H76">
    <cfRule type="cellIs" dxfId="370" priority="161" operator="notEqual">
      <formula>ROUND(I76+SUM(K76:L76),0)</formula>
    </cfRule>
  </conditionalFormatting>
  <conditionalFormatting sqref="C77">
    <cfRule type="cellIs" dxfId="369" priority="162" operator="notEqual">
      <formula>ROUND(D77+SUM(F77:G77),0)</formula>
    </cfRule>
  </conditionalFormatting>
  <conditionalFormatting sqref="H77">
    <cfRule type="cellIs" dxfId="368" priority="163" operator="notEqual">
      <formula>ROUND(I77+SUM(K77:L77),0)</formula>
    </cfRule>
  </conditionalFormatting>
  <conditionalFormatting sqref="C78">
    <cfRule type="cellIs" dxfId="367" priority="164" operator="notEqual">
      <formula>ROUND(D78+SUM(F78:G78),0)</formula>
    </cfRule>
  </conditionalFormatting>
  <conditionalFormatting sqref="H78">
    <cfRule type="cellIs" dxfId="366" priority="165" operator="notEqual">
      <formula>ROUND(I78+SUM(K78:L78),0)</formula>
    </cfRule>
  </conditionalFormatting>
  <conditionalFormatting sqref="C79">
    <cfRule type="cellIs" dxfId="365" priority="166" operator="notEqual">
      <formula>ROUND(D79+SUM(F79:G79),0)</formula>
    </cfRule>
  </conditionalFormatting>
  <conditionalFormatting sqref="H79">
    <cfRule type="cellIs" dxfId="364" priority="167" operator="notEqual">
      <formula>ROUND(I79+SUM(K79:L79),0)</formula>
    </cfRule>
  </conditionalFormatting>
  <conditionalFormatting sqref="C80">
    <cfRule type="cellIs" dxfId="363" priority="168" operator="notEqual">
      <formula>ROUND(D80+SUM(F80:G80),0)</formula>
    </cfRule>
  </conditionalFormatting>
  <conditionalFormatting sqref="H80">
    <cfRule type="cellIs" dxfId="362" priority="169" operator="notEqual">
      <formula>ROUND(I80+SUM(K80:L80),0)</formula>
    </cfRule>
  </conditionalFormatting>
  <conditionalFormatting sqref="C81">
    <cfRule type="cellIs" dxfId="361" priority="170" operator="notEqual">
      <formula>ROUND(D81+SUM(F81:G81),0)</formula>
    </cfRule>
  </conditionalFormatting>
  <conditionalFormatting sqref="H81">
    <cfRule type="cellIs" dxfId="360" priority="171" operator="notEqual">
      <formula>ROUND(I81+SUM(K81:L81),0)</formula>
    </cfRule>
  </conditionalFormatting>
  <conditionalFormatting sqref="C82">
    <cfRule type="cellIs" dxfId="359" priority="172" operator="notEqual">
      <formula>ROUND(D82+SUM(F82:G82),0)</formula>
    </cfRule>
  </conditionalFormatting>
  <conditionalFormatting sqref="H82">
    <cfRule type="cellIs" dxfId="358" priority="173" operator="notEqual">
      <formula>ROUND(I82+SUM(K82:L82),0)</formula>
    </cfRule>
  </conditionalFormatting>
  <conditionalFormatting sqref="C83">
    <cfRule type="cellIs" dxfId="357" priority="174" operator="notEqual">
      <formula>ROUND(D83+SUM(F83:G83),0)</formula>
    </cfRule>
  </conditionalFormatting>
  <conditionalFormatting sqref="H83">
    <cfRule type="cellIs" dxfId="356" priority="175" operator="notEqual">
      <formula>ROUND(I83+SUM(K83:L83),0)</formula>
    </cfRule>
  </conditionalFormatting>
  <conditionalFormatting sqref="C84">
    <cfRule type="cellIs" dxfId="355" priority="176" operator="notEqual">
      <formula>ROUND(D84+SUM(F84:G84),0)</formula>
    </cfRule>
  </conditionalFormatting>
  <conditionalFormatting sqref="H84">
    <cfRule type="cellIs" dxfId="354" priority="177" operator="notEqual">
      <formula>ROUND(I84+SUM(K84:L84),0)</formula>
    </cfRule>
  </conditionalFormatting>
  <conditionalFormatting sqref="C85">
    <cfRule type="cellIs" dxfId="353" priority="178" operator="notEqual">
      <formula>ROUND(D85+SUM(F85:G85),0)</formula>
    </cfRule>
  </conditionalFormatting>
  <conditionalFormatting sqref="H85">
    <cfRule type="cellIs" dxfId="352" priority="179" operator="notEqual">
      <formula>ROUND(I85+SUM(K85:L85),0)</formula>
    </cfRule>
  </conditionalFormatting>
  <conditionalFormatting sqref="C86">
    <cfRule type="cellIs" dxfId="351" priority="180" operator="notEqual">
      <formula>ROUND(D86+SUM(F86:G86),0)</formula>
    </cfRule>
  </conditionalFormatting>
  <conditionalFormatting sqref="H86">
    <cfRule type="cellIs" dxfId="350" priority="181" operator="notEqual">
      <formula>ROUND(I86+SUM(K86:L86),0)</formula>
    </cfRule>
  </conditionalFormatting>
  <conditionalFormatting sqref="C87">
    <cfRule type="cellIs" dxfId="349" priority="182" operator="notEqual">
      <formula>ROUND(D87+SUM(F87:G87),0)</formula>
    </cfRule>
  </conditionalFormatting>
  <conditionalFormatting sqref="H87">
    <cfRule type="cellIs" dxfId="348" priority="183" operator="notEqual">
      <formula>ROUND(I87+SUM(K87:L87),0)</formula>
    </cfRule>
  </conditionalFormatting>
  <conditionalFormatting sqref="C88">
    <cfRule type="cellIs" dxfId="347" priority="184" operator="notEqual">
      <formula>ROUND(D88+SUM(F88:G88),0)</formula>
    </cfRule>
  </conditionalFormatting>
  <conditionalFormatting sqref="H88">
    <cfRule type="cellIs" dxfId="346" priority="185" operator="notEqual">
      <formula>ROUND(I88+SUM(K88:L88),0)</formula>
    </cfRule>
  </conditionalFormatting>
  <conditionalFormatting sqref="C89">
    <cfRule type="cellIs" dxfId="345" priority="186" operator="notEqual">
      <formula>ROUND(D89+SUM(F89:G89),0)</formula>
    </cfRule>
  </conditionalFormatting>
  <conditionalFormatting sqref="H89">
    <cfRule type="cellIs" dxfId="344" priority="187" operator="notEqual">
      <formula>ROUND(I89+SUM(K89:L89),0)</formula>
    </cfRule>
  </conditionalFormatting>
  <conditionalFormatting sqref="C90">
    <cfRule type="cellIs" dxfId="343" priority="188" operator="notEqual">
      <formula>ROUND(D90+SUM(F90:G90),0)</formula>
    </cfRule>
  </conditionalFormatting>
  <conditionalFormatting sqref="H90">
    <cfRule type="cellIs" dxfId="342" priority="189" operator="notEqual">
      <formula>ROUND(I90+SUM(K90:L90),0)</formula>
    </cfRule>
  </conditionalFormatting>
  <conditionalFormatting sqref="C91">
    <cfRule type="cellIs" dxfId="341" priority="190" operator="notEqual">
      <formula>ROUND(D91+SUM(F91:G91),0)</formula>
    </cfRule>
  </conditionalFormatting>
  <conditionalFormatting sqref="H91">
    <cfRule type="cellIs" dxfId="340" priority="191" operator="notEqual">
      <formula>ROUND(I91+SUM(K91:L91),0)</formula>
    </cfRule>
  </conditionalFormatting>
  <conditionalFormatting sqref="C92">
    <cfRule type="cellIs" dxfId="339" priority="192" operator="notEqual">
      <formula>ROUND(D92+SUM(F92:G92),0)</formula>
    </cfRule>
  </conditionalFormatting>
  <conditionalFormatting sqref="H92">
    <cfRule type="cellIs" dxfId="338" priority="193" operator="notEqual">
      <formula>ROUND(I92+SUM(K92:L92),0)</formula>
    </cfRule>
  </conditionalFormatting>
  <conditionalFormatting sqref="C93">
    <cfRule type="cellIs" dxfId="337" priority="194" operator="notEqual">
      <formula>ROUND(D93+SUM(F93:G93),0)</formula>
    </cfRule>
  </conditionalFormatting>
  <conditionalFormatting sqref="H93">
    <cfRule type="cellIs" dxfId="336" priority="195" operator="notEqual">
      <formula>ROUND(I93+SUM(K93:L93),0)</formula>
    </cfRule>
  </conditionalFormatting>
  <conditionalFormatting sqref="C94">
    <cfRule type="cellIs" dxfId="335" priority="196" operator="notEqual">
      <formula>ROUND(D94+SUM(F94:G94),0)</formula>
    </cfRule>
  </conditionalFormatting>
  <conditionalFormatting sqref="H94">
    <cfRule type="cellIs" dxfId="334" priority="197" operator="notEqual">
      <formula>ROUND(I94+SUM(K94:L94),0)</formula>
    </cfRule>
  </conditionalFormatting>
  <conditionalFormatting sqref="C95">
    <cfRule type="cellIs" dxfId="333" priority="198" operator="notEqual">
      <formula>ROUND(D95+SUM(F95:G95),0)</formula>
    </cfRule>
  </conditionalFormatting>
  <conditionalFormatting sqref="H95">
    <cfRule type="cellIs" dxfId="332" priority="199" operator="notEqual">
      <formula>ROUND(I95+SUM(K95:L95),0)</formula>
    </cfRule>
  </conditionalFormatting>
  <conditionalFormatting sqref="C96">
    <cfRule type="cellIs" dxfId="331" priority="200" operator="notEqual">
      <formula>ROUND(D96+SUM(F96:G96),0)</formula>
    </cfRule>
  </conditionalFormatting>
  <conditionalFormatting sqref="H96">
    <cfRule type="cellIs" dxfId="330" priority="201" operator="notEqual">
      <formula>ROUND(I96+SUM(K96:L96),0)</formula>
    </cfRule>
  </conditionalFormatting>
  <conditionalFormatting sqref="C97">
    <cfRule type="cellIs" dxfId="329" priority="202" operator="notEqual">
      <formula>ROUND(D97+SUM(F97:G97),0)</formula>
    </cfRule>
  </conditionalFormatting>
  <conditionalFormatting sqref="H97">
    <cfRule type="cellIs" dxfId="328" priority="203" operator="notEqual">
      <formula>ROUND(I97+SUM(K97:L97),0)</formula>
    </cfRule>
  </conditionalFormatting>
  <conditionalFormatting sqref="C98">
    <cfRule type="cellIs" dxfId="327" priority="204" operator="notEqual">
      <formula>ROUND(D98+SUM(F98:G98),0)</formula>
    </cfRule>
  </conditionalFormatting>
  <conditionalFormatting sqref="H98">
    <cfRule type="cellIs" dxfId="326" priority="205" operator="notEqual">
      <formula>ROUND(I98+SUM(K98:L98),0)</formula>
    </cfRule>
  </conditionalFormatting>
  <conditionalFormatting sqref="C99">
    <cfRule type="cellIs" dxfId="325" priority="206" operator="notEqual">
      <formula>ROUND(D99+SUM(F99:G99),0)</formula>
    </cfRule>
  </conditionalFormatting>
  <conditionalFormatting sqref="H99">
    <cfRule type="cellIs" dxfId="324" priority="207" operator="notEqual">
      <formula>ROUND(I99+SUM(K99:L99),0)</formula>
    </cfRule>
  </conditionalFormatting>
  <conditionalFormatting sqref="C100">
    <cfRule type="cellIs" dxfId="323" priority="208" operator="notEqual">
      <formula>ROUND(D100+SUM(F100:G100),0)</formula>
    </cfRule>
  </conditionalFormatting>
  <conditionalFormatting sqref="H100">
    <cfRule type="cellIs" dxfId="322" priority="209" operator="notEqual">
      <formula>ROUND(I100+SUM(K100:L100),0)</formula>
    </cfRule>
  </conditionalFormatting>
  <conditionalFormatting sqref="C101">
    <cfRule type="cellIs" dxfId="321" priority="210" operator="notEqual">
      <formula>ROUND(D101+SUM(F101:G101),0)</formula>
    </cfRule>
  </conditionalFormatting>
  <conditionalFormatting sqref="H101">
    <cfRule type="cellIs" dxfId="320" priority="211" operator="notEqual">
      <formula>ROUND(I101+SUM(K101:L101),0)</formula>
    </cfRule>
  </conditionalFormatting>
  <conditionalFormatting sqref="C102">
    <cfRule type="cellIs" dxfId="319" priority="212" operator="notEqual">
      <formula>ROUND(D102+SUM(F102:G102),0)</formula>
    </cfRule>
  </conditionalFormatting>
  <conditionalFormatting sqref="H102">
    <cfRule type="cellIs" dxfId="318" priority="213" operator="notEqual">
      <formula>ROUND(I102+SUM(K102:L102),0)</formula>
    </cfRule>
  </conditionalFormatting>
  <conditionalFormatting sqref="C103">
    <cfRule type="cellIs" dxfId="317" priority="214" operator="notEqual">
      <formula>ROUND(D103+SUM(F103:G103),0)</formula>
    </cfRule>
  </conditionalFormatting>
  <conditionalFormatting sqref="H103">
    <cfRule type="cellIs" dxfId="316" priority="215" operator="notEqual">
      <formula>ROUND(I103+SUM(K103:L103),0)</formula>
    </cfRule>
  </conditionalFormatting>
  <conditionalFormatting sqref="C104">
    <cfRule type="cellIs" dxfId="315" priority="216" operator="notEqual">
      <formula>ROUND(D104+SUM(F104:G104),0)</formula>
    </cfRule>
  </conditionalFormatting>
  <conditionalFormatting sqref="H104">
    <cfRule type="cellIs" dxfId="314" priority="217" operator="notEqual">
      <formula>ROUND(I104+SUM(K104:L104),0)</formula>
    </cfRule>
  </conditionalFormatting>
  <conditionalFormatting sqref="C105">
    <cfRule type="cellIs" dxfId="313" priority="218" operator="notEqual">
      <formula>ROUND(D105+SUM(F105:G105),0)</formula>
    </cfRule>
  </conditionalFormatting>
  <conditionalFormatting sqref="H105">
    <cfRule type="cellIs" dxfId="312" priority="219" operator="notEqual">
      <formula>ROUND(I105+SUM(K105:L105),0)</formula>
    </cfRule>
  </conditionalFormatting>
  <conditionalFormatting sqref="C106">
    <cfRule type="cellIs" dxfId="311" priority="220" operator="notEqual">
      <formula>ROUND(D106+SUM(F106:G106),0)</formula>
    </cfRule>
  </conditionalFormatting>
  <conditionalFormatting sqref="H106">
    <cfRule type="cellIs" dxfId="310" priority="221" operator="notEqual">
      <formula>ROUND(I106+SUM(K106:L106),0)</formula>
    </cfRule>
  </conditionalFormatting>
  <conditionalFormatting sqref="C107">
    <cfRule type="cellIs" dxfId="309" priority="222" operator="notEqual">
      <formula>ROUND(D107+SUM(F107:G107),0)</formula>
    </cfRule>
  </conditionalFormatting>
  <conditionalFormatting sqref="H107">
    <cfRule type="cellIs" dxfId="308" priority="223" operator="notEqual">
      <formula>ROUND(I107+SUM(K107:L107),0)</formula>
    </cfRule>
  </conditionalFormatting>
  <conditionalFormatting sqref="C108">
    <cfRule type="cellIs" dxfId="307" priority="224" operator="notEqual">
      <formula>ROUND(D108+SUM(F108:G108),0)</formula>
    </cfRule>
  </conditionalFormatting>
  <conditionalFormatting sqref="H108">
    <cfRule type="cellIs" dxfId="306" priority="225" operator="notEqual">
      <formula>ROUND(I108+SUM(K108:L108),0)</formula>
    </cfRule>
  </conditionalFormatting>
  <conditionalFormatting sqref="C109">
    <cfRule type="cellIs" dxfId="305" priority="226" operator="notEqual">
      <formula>ROUND(D109+SUM(F109:G109),0)</formula>
    </cfRule>
  </conditionalFormatting>
  <conditionalFormatting sqref="H109">
    <cfRule type="cellIs" dxfId="304" priority="227" operator="notEqual">
      <formula>ROUND(I109+SUM(K109:L109),0)</formula>
    </cfRule>
  </conditionalFormatting>
  <conditionalFormatting sqref="C110">
    <cfRule type="cellIs" dxfId="303" priority="228" operator="notEqual">
      <formula>ROUND(D110+SUM(F110:G110),0)</formula>
    </cfRule>
  </conditionalFormatting>
  <conditionalFormatting sqref="H110">
    <cfRule type="cellIs" dxfId="302" priority="229" operator="notEqual">
      <formula>ROUND(I110+SUM(K110:L110),0)</formula>
    </cfRule>
  </conditionalFormatting>
  <conditionalFormatting sqref="C111">
    <cfRule type="cellIs" dxfId="301" priority="230" operator="notEqual">
      <formula>ROUND(D111+SUM(F111:G111),0)</formula>
    </cfRule>
  </conditionalFormatting>
  <conditionalFormatting sqref="H111">
    <cfRule type="cellIs" dxfId="300" priority="231" operator="notEqual">
      <formula>ROUND(I111+SUM(K111:L111),0)</formula>
    </cfRule>
  </conditionalFormatting>
  <conditionalFormatting sqref="C112">
    <cfRule type="cellIs" dxfId="299" priority="232" operator="notEqual">
      <formula>ROUND(D112+SUM(F112:G112),0)</formula>
    </cfRule>
  </conditionalFormatting>
  <conditionalFormatting sqref="H112">
    <cfRule type="cellIs" dxfId="298" priority="233" operator="notEqual">
      <formula>ROUND(I112+SUM(K112:L112),0)</formula>
    </cfRule>
  </conditionalFormatting>
  <conditionalFormatting sqref="C113">
    <cfRule type="cellIs" dxfId="297" priority="234" operator="notEqual">
      <formula>ROUND(D113+SUM(F113:G113),0)</formula>
    </cfRule>
  </conditionalFormatting>
  <conditionalFormatting sqref="H113">
    <cfRule type="cellIs" dxfId="296" priority="235" operator="notEqual">
      <formula>ROUND(I113+SUM(K113:L113),0)</formula>
    </cfRule>
  </conditionalFormatting>
  <conditionalFormatting sqref="C114">
    <cfRule type="cellIs" dxfId="295" priority="236" operator="notEqual">
      <formula>ROUND(D114+SUM(F114:G114),0)</formula>
    </cfRule>
  </conditionalFormatting>
  <conditionalFormatting sqref="H114">
    <cfRule type="cellIs" dxfId="294" priority="237" operator="notEqual">
      <formula>ROUND(I114+SUM(K114:L114),0)</formula>
    </cfRule>
  </conditionalFormatting>
  <conditionalFormatting sqref="C115">
    <cfRule type="cellIs" dxfId="293" priority="238" operator="notEqual">
      <formula>ROUND(D115+SUM(F115:G115),0)</formula>
    </cfRule>
  </conditionalFormatting>
  <conditionalFormatting sqref="H115">
    <cfRule type="cellIs" dxfId="292" priority="239" operator="notEqual">
      <formula>ROUND(I115+SUM(K115:L115),0)</formula>
    </cfRule>
  </conditionalFormatting>
  <conditionalFormatting sqref="C116">
    <cfRule type="cellIs" dxfId="291" priority="240" operator="notEqual">
      <formula>ROUND(D116+SUM(F116:G116),0)</formula>
    </cfRule>
  </conditionalFormatting>
  <conditionalFormatting sqref="H116">
    <cfRule type="cellIs" dxfId="290" priority="241" operator="notEqual">
      <formula>ROUND(I116+SUM(K116:L116),0)</formula>
    </cfRule>
  </conditionalFormatting>
  <conditionalFormatting sqref="C117">
    <cfRule type="cellIs" dxfId="289" priority="242" operator="notEqual">
      <formula>ROUND(D117+SUM(F117:G117),0)</formula>
    </cfRule>
  </conditionalFormatting>
  <conditionalFormatting sqref="H117">
    <cfRule type="cellIs" dxfId="288" priority="243" operator="notEqual">
      <formula>ROUND(I117+SUM(K117:L117),0)</formula>
    </cfRule>
  </conditionalFormatting>
  <conditionalFormatting sqref="C118">
    <cfRule type="cellIs" dxfId="287" priority="244" operator="notEqual">
      <formula>ROUND(D118+SUM(F118:G118),0)</formula>
    </cfRule>
  </conditionalFormatting>
  <conditionalFormatting sqref="H118">
    <cfRule type="cellIs" dxfId="286" priority="245" operator="notEqual">
      <formula>ROUND(I118+SUM(K118:L118),0)</formula>
    </cfRule>
  </conditionalFormatting>
  <conditionalFormatting sqref="C119">
    <cfRule type="cellIs" dxfId="285" priority="246" operator="notEqual">
      <formula>ROUND(D119+SUM(F119:G119),0)</formula>
    </cfRule>
  </conditionalFormatting>
  <conditionalFormatting sqref="H119">
    <cfRule type="cellIs" dxfId="284" priority="247" operator="notEqual">
      <formula>ROUND(I119+SUM(K119:L119),0)</formula>
    </cfRule>
  </conditionalFormatting>
  <conditionalFormatting sqref="C120">
    <cfRule type="cellIs" dxfId="283" priority="248" operator="notEqual">
      <formula>ROUND(D120+SUM(F120:G120),0)</formula>
    </cfRule>
  </conditionalFormatting>
  <conditionalFormatting sqref="H120">
    <cfRule type="cellIs" dxfId="282" priority="249" operator="notEqual">
      <formula>ROUND(I120+SUM(K120:L120),0)</formula>
    </cfRule>
  </conditionalFormatting>
  <conditionalFormatting sqref="C121">
    <cfRule type="cellIs" dxfId="281" priority="250" operator="notEqual">
      <formula>ROUND(D121+SUM(F121:G121),0)</formula>
    </cfRule>
  </conditionalFormatting>
  <conditionalFormatting sqref="H121">
    <cfRule type="cellIs" dxfId="280" priority="251" operator="notEqual">
      <formula>ROUND(I121+SUM(K121:L121),0)</formula>
    </cfRule>
  </conditionalFormatting>
  <conditionalFormatting sqref="C122">
    <cfRule type="cellIs" dxfId="279" priority="252" operator="notEqual">
      <formula>ROUND(D122+SUM(F122:G122),0)</formula>
    </cfRule>
  </conditionalFormatting>
  <conditionalFormatting sqref="H122">
    <cfRule type="cellIs" dxfId="278" priority="253" operator="notEqual">
      <formula>ROUND(I122+SUM(K122:L122),0)</formula>
    </cfRule>
  </conditionalFormatting>
  <conditionalFormatting sqref="C123">
    <cfRule type="cellIs" dxfId="277" priority="254" operator="notEqual">
      <formula>ROUND(D123+SUM(F123:G123),0)</formula>
    </cfRule>
  </conditionalFormatting>
  <conditionalFormatting sqref="H123">
    <cfRule type="cellIs" dxfId="276" priority="255" operator="notEqual">
      <formula>ROUND(I123+SUM(K123:L123),0)</formula>
    </cfRule>
  </conditionalFormatting>
  <conditionalFormatting sqref="C124">
    <cfRule type="cellIs" dxfId="275" priority="256" operator="notEqual">
      <formula>ROUND(D124+SUM(F124:G124),0)</formula>
    </cfRule>
  </conditionalFormatting>
  <conditionalFormatting sqref="H124">
    <cfRule type="cellIs" dxfId="274" priority="257" operator="notEqual">
      <formula>ROUND(I124+SUM(K124:L124),0)</formula>
    </cfRule>
  </conditionalFormatting>
  <conditionalFormatting sqref="C125">
    <cfRule type="cellIs" dxfId="273" priority="258" operator="notEqual">
      <formula>ROUND(D125+SUM(F125:G125),0)</formula>
    </cfRule>
  </conditionalFormatting>
  <conditionalFormatting sqref="H125">
    <cfRule type="cellIs" dxfId="272" priority="259" operator="notEqual">
      <formula>ROUND(I125+SUM(K125:L125),0)</formula>
    </cfRule>
  </conditionalFormatting>
  <conditionalFormatting sqref="C126">
    <cfRule type="cellIs" dxfId="271" priority="260" operator="notEqual">
      <formula>ROUND(D126+SUM(F126:G126),0)</formula>
    </cfRule>
  </conditionalFormatting>
  <conditionalFormatting sqref="H126">
    <cfRule type="cellIs" dxfId="270" priority="261" operator="notEqual">
      <formula>ROUND(I126+SUM(K126:L126),0)</formula>
    </cfRule>
  </conditionalFormatting>
  <conditionalFormatting sqref="C127">
    <cfRule type="cellIs" dxfId="269" priority="262" operator="notEqual">
      <formula>ROUND(D127+SUM(F127:G127),0)</formula>
    </cfRule>
  </conditionalFormatting>
  <conditionalFormatting sqref="H127">
    <cfRule type="cellIs" dxfId="268" priority="263" operator="notEqual">
      <formula>ROUND(I127+SUM(K127:L127),0)</formula>
    </cfRule>
  </conditionalFormatting>
  <conditionalFormatting sqref="C128">
    <cfRule type="cellIs" dxfId="267" priority="264" operator="notEqual">
      <formula>ROUND(D128+SUM(F128:G128),0)</formula>
    </cfRule>
  </conditionalFormatting>
  <conditionalFormatting sqref="H128">
    <cfRule type="cellIs" dxfId="266" priority="265" operator="notEqual">
      <formula>ROUND(I128+SUM(K128:L128),0)</formula>
    </cfRule>
  </conditionalFormatting>
  <conditionalFormatting sqref="C129">
    <cfRule type="cellIs" dxfId="265" priority="266" operator="notEqual">
      <formula>ROUND(D129+SUM(F129:G129),0)</formula>
    </cfRule>
  </conditionalFormatting>
  <conditionalFormatting sqref="H129">
    <cfRule type="cellIs" dxfId="264" priority="267" operator="notEqual">
      <formula>ROUND(I129+SUM(K129:L129),0)</formula>
    </cfRule>
  </conditionalFormatting>
  <conditionalFormatting sqref="C130">
    <cfRule type="cellIs" dxfId="263" priority="268" operator="notEqual">
      <formula>ROUND(D130+SUM(F130:G130),0)</formula>
    </cfRule>
  </conditionalFormatting>
  <conditionalFormatting sqref="H130">
    <cfRule type="cellIs" dxfId="262" priority="269" operator="notEqual">
      <formula>ROUND(I130+SUM(K130:L130),0)</formula>
    </cfRule>
  </conditionalFormatting>
  <conditionalFormatting sqref="C131">
    <cfRule type="cellIs" dxfId="261" priority="270" operator="notEqual">
      <formula>ROUND(D131+SUM(F131:G131),0)</formula>
    </cfRule>
  </conditionalFormatting>
  <conditionalFormatting sqref="H131">
    <cfRule type="cellIs" dxfId="260" priority="271" operator="notEqual">
      <formula>ROUND(I131+SUM(K131:L131),0)</formula>
    </cfRule>
  </conditionalFormatting>
  <conditionalFormatting sqref="C132">
    <cfRule type="cellIs" dxfId="259" priority="272" operator="notEqual">
      <formula>ROUND(D132+SUM(F132:G132),0)</formula>
    </cfRule>
  </conditionalFormatting>
  <conditionalFormatting sqref="H132">
    <cfRule type="cellIs" dxfId="258" priority="273" operator="notEqual">
      <formula>ROUND(I132+SUM(K132:L132),0)</formula>
    </cfRule>
  </conditionalFormatting>
  <conditionalFormatting sqref="C133">
    <cfRule type="cellIs" dxfId="257" priority="274" operator="notEqual">
      <formula>ROUND(D133+SUM(F133:G133),0)</formula>
    </cfRule>
  </conditionalFormatting>
  <conditionalFormatting sqref="H133">
    <cfRule type="cellIs" dxfId="256" priority="275" operator="notEqual">
      <formula>ROUND(I133+SUM(K133:L133),0)</formula>
    </cfRule>
  </conditionalFormatting>
  <conditionalFormatting sqref="C134">
    <cfRule type="cellIs" dxfId="255" priority="276" operator="notEqual">
      <formula>ROUND(D134+SUM(F134:G134),0)</formula>
    </cfRule>
  </conditionalFormatting>
  <conditionalFormatting sqref="H134">
    <cfRule type="cellIs" dxfId="254" priority="277" operator="notEqual">
      <formula>ROUND(I134+SUM(K134:L134),0)</formula>
    </cfRule>
  </conditionalFormatting>
  <conditionalFormatting sqref="C135">
    <cfRule type="cellIs" dxfId="253" priority="278" operator="notEqual">
      <formula>ROUND(D135+SUM(F135:G135),0)</formula>
    </cfRule>
  </conditionalFormatting>
  <conditionalFormatting sqref="H135">
    <cfRule type="cellIs" dxfId="252" priority="279" operator="notEqual">
      <formula>ROUND(I135+SUM(K135:L135),0)</formula>
    </cfRule>
  </conditionalFormatting>
  <conditionalFormatting sqref="C136">
    <cfRule type="cellIs" dxfId="251" priority="280" operator="notEqual">
      <formula>ROUND(D136+SUM(F136:G136),0)</formula>
    </cfRule>
  </conditionalFormatting>
  <conditionalFormatting sqref="H136">
    <cfRule type="cellIs" dxfId="250" priority="281" operator="notEqual">
      <formula>ROUND(I136+SUM(K136:L136),0)</formula>
    </cfRule>
  </conditionalFormatting>
  <conditionalFormatting sqref="C137">
    <cfRule type="cellIs" dxfId="249" priority="282" operator="notEqual">
      <formula>ROUND(D137+SUM(F137:G137),0)</formula>
    </cfRule>
  </conditionalFormatting>
  <conditionalFormatting sqref="H137">
    <cfRule type="cellIs" dxfId="248" priority="283" operator="notEqual">
      <formula>ROUND(I137+SUM(K137:L137),0)</formula>
    </cfRule>
  </conditionalFormatting>
  <conditionalFormatting sqref="C138">
    <cfRule type="cellIs" dxfId="247" priority="284" operator="notEqual">
      <formula>ROUND(D138+SUM(F138:G138),0)</formula>
    </cfRule>
  </conditionalFormatting>
  <conditionalFormatting sqref="H138">
    <cfRule type="cellIs" dxfId="246" priority="285" operator="notEqual">
      <formula>ROUND(I138+SUM(K138:L138),0)</formula>
    </cfRule>
  </conditionalFormatting>
  <conditionalFormatting sqref="C139">
    <cfRule type="cellIs" dxfId="245" priority="286" operator="notEqual">
      <formula>ROUND(D139+SUM(F139:G139),0)</formula>
    </cfRule>
  </conditionalFormatting>
  <conditionalFormatting sqref="H139">
    <cfRule type="cellIs" dxfId="244" priority="287" operator="notEqual">
      <formula>ROUND(I139+SUM(K139:L139),0)</formula>
    </cfRule>
  </conditionalFormatting>
  <conditionalFormatting sqref="C140">
    <cfRule type="cellIs" dxfId="243" priority="288" operator="notEqual">
      <formula>ROUND(D140+SUM(F140:G140),0)</formula>
    </cfRule>
  </conditionalFormatting>
  <conditionalFormatting sqref="H140">
    <cfRule type="cellIs" dxfId="242" priority="289" operator="notEqual">
      <formula>ROUND(I140+SUM(K140:L140),0)</formula>
    </cfRule>
  </conditionalFormatting>
  <conditionalFormatting sqref="C141">
    <cfRule type="cellIs" dxfId="241" priority="290" operator="notEqual">
      <formula>ROUND(D141+SUM(F141:G141),0)</formula>
    </cfRule>
  </conditionalFormatting>
  <conditionalFormatting sqref="H141">
    <cfRule type="cellIs" dxfId="240" priority="291" operator="notEqual">
      <formula>ROUND(I141+SUM(K141:L141),0)</formula>
    </cfRule>
  </conditionalFormatting>
  <conditionalFormatting sqref="C142">
    <cfRule type="cellIs" dxfId="239" priority="292" operator="notEqual">
      <formula>ROUND(D142+SUM(F142:G142),0)</formula>
    </cfRule>
  </conditionalFormatting>
  <conditionalFormatting sqref="H142">
    <cfRule type="cellIs" dxfId="238" priority="293" operator="notEqual">
      <formula>ROUND(I142+SUM(K142:L142),0)</formula>
    </cfRule>
  </conditionalFormatting>
  <conditionalFormatting sqref="C143">
    <cfRule type="cellIs" dxfId="237" priority="294" operator="notEqual">
      <formula>ROUND(D143+SUM(F143:G143),0)</formula>
    </cfRule>
  </conditionalFormatting>
  <conditionalFormatting sqref="H143">
    <cfRule type="cellIs" dxfId="236" priority="295" operator="notEqual">
      <formula>ROUND(I143+SUM(K143:L143),0)</formula>
    </cfRule>
  </conditionalFormatting>
  <conditionalFormatting sqref="C144">
    <cfRule type="cellIs" dxfId="235" priority="296" operator="notEqual">
      <formula>ROUND(D144+SUM(F144:G144),0)</formula>
    </cfRule>
  </conditionalFormatting>
  <conditionalFormatting sqref="H144">
    <cfRule type="cellIs" dxfId="234" priority="297" operator="notEqual">
      <formula>ROUND(I144+SUM(K144:L144),0)</formula>
    </cfRule>
  </conditionalFormatting>
  <conditionalFormatting sqref="C145">
    <cfRule type="cellIs" dxfId="233" priority="298" operator="notEqual">
      <formula>ROUND(D145+SUM(F145:G145),0)</formula>
    </cfRule>
  </conditionalFormatting>
  <conditionalFormatting sqref="H145">
    <cfRule type="cellIs" dxfId="232" priority="299" operator="notEqual">
      <formula>ROUND(I145+SUM(K145:L145),0)</formula>
    </cfRule>
  </conditionalFormatting>
  <conditionalFormatting sqref="C146">
    <cfRule type="cellIs" dxfId="231" priority="300" operator="notEqual">
      <formula>ROUND(D146+SUM(F146:G146),0)</formula>
    </cfRule>
  </conditionalFormatting>
  <conditionalFormatting sqref="H146">
    <cfRule type="cellIs" dxfId="230" priority="301" operator="notEqual">
      <formula>ROUND(I146+SUM(K146:L146),0)</formula>
    </cfRule>
  </conditionalFormatting>
  <conditionalFormatting sqref="C147">
    <cfRule type="cellIs" dxfId="229" priority="302" operator="notEqual">
      <formula>ROUND(D147+SUM(F147:G147),0)</formula>
    </cfRule>
  </conditionalFormatting>
  <conditionalFormatting sqref="H147">
    <cfRule type="cellIs" dxfId="228" priority="303" operator="notEqual">
      <formula>ROUND(I147+SUM(K147:L147),0)</formula>
    </cfRule>
  </conditionalFormatting>
  <conditionalFormatting sqref="C148">
    <cfRule type="cellIs" dxfId="227" priority="304" operator="notEqual">
      <formula>ROUND(D148+SUM(F148:G148),0)</formula>
    </cfRule>
  </conditionalFormatting>
  <conditionalFormatting sqref="H148">
    <cfRule type="cellIs" dxfId="226" priority="305" operator="notEqual">
      <formula>ROUND(I148+SUM(K148:L148),0)</formula>
    </cfRule>
  </conditionalFormatting>
  <conditionalFormatting sqref="C149">
    <cfRule type="cellIs" dxfId="225" priority="306" operator="notEqual">
      <formula>ROUND(D149+SUM(F149:G149),0)</formula>
    </cfRule>
  </conditionalFormatting>
  <conditionalFormatting sqref="H149">
    <cfRule type="cellIs" dxfId="224" priority="307" operator="notEqual">
      <formula>ROUND(I149+SUM(K149:L149),0)</formula>
    </cfRule>
  </conditionalFormatting>
  <conditionalFormatting sqref="C150">
    <cfRule type="cellIs" dxfId="223" priority="308" operator="notEqual">
      <formula>ROUND(D150+SUM(F150:G150),0)</formula>
    </cfRule>
  </conditionalFormatting>
  <conditionalFormatting sqref="H150">
    <cfRule type="cellIs" dxfId="222" priority="309" operator="notEqual">
      <formula>ROUND(I150+SUM(K150:L150),0)</formula>
    </cfRule>
  </conditionalFormatting>
  <conditionalFormatting sqref="C151">
    <cfRule type="cellIs" dxfId="221" priority="310" operator="notEqual">
      <formula>ROUND(D151+SUM(F151:G151),0)</formula>
    </cfRule>
  </conditionalFormatting>
  <conditionalFormatting sqref="H151">
    <cfRule type="cellIs" dxfId="220" priority="311" operator="notEqual">
      <formula>ROUND(I151+SUM(K151:L151),0)</formula>
    </cfRule>
  </conditionalFormatting>
  <conditionalFormatting sqref="C152">
    <cfRule type="cellIs" dxfId="219" priority="312" operator="notEqual">
      <formula>ROUND(D152+SUM(F152:G152),0)</formula>
    </cfRule>
  </conditionalFormatting>
  <conditionalFormatting sqref="H152">
    <cfRule type="cellIs" dxfId="218" priority="313" operator="notEqual">
      <formula>ROUND(I152+SUM(K152:L152),0)</formula>
    </cfRule>
  </conditionalFormatting>
  <conditionalFormatting sqref="C153">
    <cfRule type="cellIs" dxfId="217" priority="314" operator="notEqual">
      <formula>ROUND(D153+SUM(F153:G153),0)</formula>
    </cfRule>
  </conditionalFormatting>
  <conditionalFormatting sqref="H153">
    <cfRule type="cellIs" dxfId="216" priority="315" operator="notEqual">
      <formula>ROUND(I153+SUM(K153:L153),0)</formula>
    </cfRule>
  </conditionalFormatting>
  <conditionalFormatting sqref="C154">
    <cfRule type="cellIs" dxfId="215" priority="316" operator="notEqual">
      <formula>ROUND(D154+SUM(F154:G154),0)</formula>
    </cfRule>
  </conditionalFormatting>
  <conditionalFormatting sqref="H154">
    <cfRule type="cellIs" dxfId="214" priority="317" operator="notEqual">
      <formula>ROUND(I154+SUM(K154:L154),0)</formula>
    </cfRule>
  </conditionalFormatting>
  <conditionalFormatting sqref="C155">
    <cfRule type="cellIs" dxfId="213" priority="318" operator="notEqual">
      <formula>ROUND(D155+SUM(F155:G155),0)</formula>
    </cfRule>
  </conditionalFormatting>
  <conditionalFormatting sqref="H155">
    <cfRule type="cellIs" dxfId="212" priority="319" operator="notEqual">
      <formula>ROUND(I155+SUM(K155:L155),0)</formula>
    </cfRule>
  </conditionalFormatting>
  <conditionalFormatting sqref="C156">
    <cfRule type="cellIs" dxfId="211" priority="320" operator="notEqual">
      <formula>ROUND(D156+SUM(F156:G156),0)</formula>
    </cfRule>
  </conditionalFormatting>
  <conditionalFormatting sqref="H156">
    <cfRule type="cellIs" dxfId="210" priority="321" operator="notEqual">
      <formula>ROUND(I156+SUM(K156:L156),0)</formula>
    </cfRule>
  </conditionalFormatting>
  <conditionalFormatting sqref="C157">
    <cfRule type="cellIs" dxfId="209" priority="322" operator="notEqual">
      <formula>ROUND(D157+SUM(F157:G157),0)</formula>
    </cfRule>
  </conditionalFormatting>
  <conditionalFormatting sqref="H157">
    <cfRule type="cellIs" dxfId="208" priority="323" operator="notEqual">
      <formula>ROUND(I157+SUM(K157:L157),0)</formula>
    </cfRule>
  </conditionalFormatting>
  <conditionalFormatting sqref="C158">
    <cfRule type="cellIs" dxfId="207" priority="324" operator="notEqual">
      <formula>ROUND(D158+SUM(F158:G158),0)</formula>
    </cfRule>
  </conditionalFormatting>
  <conditionalFormatting sqref="H158">
    <cfRule type="cellIs" dxfId="206" priority="325" operator="notEqual">
      <formula>ROUND(I158+SUM(K158:L158),0)</formula>
    </cfRule>
  </conditionalFormatting>
  <conditionalFormatting sqref="C159">
    <cfRule type="cellIs" dxfId="205" priority="326" operator="notEqual">
      <formula>ROUND(D159+SUM(F159:G159),0)</formula>
    </cfRule>
  </conditionalFormatting>
  <conditionalFormatting sqref="H159">
    <cfRule type="cellIs" dxfId="204" priority="327" operator="notEqual">
      <formula>ROUND(I159+SUM(K159:L159),0)</formula>
    </cfRule>
  </conditionalFormatting>
  <conditionalFormatting sqref="C160">
    <cfRule type="cellIs" dxfId="203" priority="328" operator="notEqual">
      <formula>ROUND(D160+SUM(F160:G160),0)</formula>
    </cfRule>
  </conditionalFormatting>
  <conditionalFormatting sqref="H160">
    <cfRule type="cellIs" dxfId="202" priority="329" operator="notEqual">
      <formula>ROUND(I160+SUM(K160:L160),0)</formula>
    </cfRule>
  </conditionalFormatting>
  <conditionalFormatting sqref="C161">
    <cfRule type="cellIs" dxfId="201" priority="330" operator="notEqual">
      <formula>ROUND(D161+SUM(F161:G161),0)</formula>
    </cfRule>
  </conditionalFormatting>
  <conditionalFormatting sqref="H161">
    <cfRule type="cellIs" dxfId="200" priority="331" operator="notEqual">
      <formula>ROUND(I161+SUM(K161:L161),0)</formula>
    </cfRule>
  </conditionalFormatting>
  <conditionalFormatting sqref="C162">
    <cfRule type="cellIs" dxfId="199" priority="332" operator="notEqual">
      <formula>ROUND(D162+SUM(F162:G162),0)</formula>
    </cfRule>
  </conditionalFormatting>
  <conditionalFormatting sqref="H162">
    <cfRule type="cellIs" dxfId="198" priority="333" operator="notEqual">
      <formula>ROUND(I162+SUM(K162:L162),0)</formula>
    </cfRule>
  </conditionalFormatting>
  <conditionalFormatting sqref="C163">
    <cfRule type="cellIs" dxfId="197" priority="334" operator="notEqual">
      <formula>ROUND(D163+SUM(F163:G163),0)</formula>
    </cfRule>
  </conditionalFormatting>
  <conditionalFormatting sqref="H163">
    <cfRule type="cellIs" dxfId="196" priority="335" operator="notEqual">
      <formula>ROUND(I163+SUM(K163:L163),0)</formula>
    </cfRule>
  </conditionalFormatting>
  <conditionalFormatting sqref="C164">
    <cfRule type="cellIs" dxfId="195" priority="336" operator="notEqual">
      <formula>ROUND(D164+SUM(F164:G164),0)</formula>
    </cfRule>
  </conditionalFormatting>
  <conditionalFormatting sqref="H164">
    <cfRule type="cellIs" dxfId="194" priority="337" operator="notEqual">
      <formula>ROUND(I164+SUM(K164:L164),0)</formula>
    </cfRule>
  </conditionalFormatting>
  <conditionalFormatting sqref="C165">
    <cfRule type="cellIs" dxfId="193" priority="338" operator="notEqual">
      <formula>ROUND(D165+SUM(F165:G165),0)</formula>
    </cfRule>
  </conditionalFormatting>
  <conditionalFormatting sqref="H165">
    <cfRule type="cellIs" dxfId="192" priority="339" operator="notEqual">
      <formula>ROUND(I165+SUM(K165:L165),0)</formula>
    </cfRule>
  </conditionalFormatting>
  <conditionalFormatting sqref="C166">
    <cfRule type="cellIs" dxfId="191" priority="340" operator="notEqual">
      <formula>ROUND(D166+SUM(F166:G166),0)</formula>
    </cfRule>
  </conditionalFormatting>
  <conditionalFormatting sqref="H166">
    <cfRule type="cellIs" dxfId="190" priority="341" operator="notEqual">
      <formula>ROUND(I166+SUM(K166:L166),0)</formula>
    </cfRule>
  </conditionalFormatting>
  <conditionalFormatting sqref="C167">
    <cfRule type="cellIs" dxfId="189" priority="342" operator="notEqual">
      <formula>ROUND(D167+SUM(F167:G167),0)</formula>
    </cfRule>
  </conditionalFormatting>
  <conditionalFormatting sqref="H167">
    <cfRule type="cellIs" dxfId="188" priority="343" operator="notEqual">
      <formula>ROUND(I167+SUM(K167:L167),0)</formula>
    </cfRule>
  </conditionalFormatting>
  <conditionalFormatting sqref="C168">
    <cfRule type="cellIs" dxfId="187" priority="344" operator="notEqual">
      <formula>ROUND(D168+SUM(F168:G168),0)</formula>
    </cfRule>
  </conditionalFormatting>
  <conditionalFormatting sqref="H168">
    <cfRule type="cellIs" dxfId="186" priority="345" operator="notEqual">
      <formula>ROUND(I168+SUM(K168:L168),0)</formula>
    </cfRule>
  </conditionalFormatting>
  <conditionalFormatting sqref="C169">
    <cfRule type="cellIs" dxfId="185" priority="346" operator="notEqual">
      <formula>ROUND(D169+SUM(F169:G169),0)</formula>
    </cfRule>
  </conditionalFormatting>
  <conditionalFormatting sqref="H169">
    <cfRule type="cellIs" dxfId="184" priority="347" operator="notEqual">
      <formula>ROUND(I169+SUM(K169:L169),0)</formula>
    </cfRule>
  </conditionalFormatting>
  <conditionalFormatting sqref="C170">
    <cfRule type="cellIs" dxfId="183" priority="348" operator="notEqual">
      <formula>ROUND(D170+SUM(F170:G170),0)</formula>
    </cfRule>
  </conditionalFormatting>
  <conditionalFormatting sqref="H170">
    <cfRule type="cellIs" dxfId="182" priority="349" operator="notEqual">
      <formula>ROUND(I170+SUM(K170:L170),0)</formula>
    </cfRule>
  </conditionalFormatting>
  <conditionalFormatting sqref="C171">
    <cfRule type="cellIs" dxfId="181" priority="350" operator="notEqual">
      <formula>ROUND(D171+SUM(F171:G171),0)</formula>
    </cfRule>
  </conditionalFormatting>
  <conditionalFormatting sqref="H171">
    <cfRule type="cellIs" dxfId="180" priority="351" operator="notEqual">
      <formula>ROUND(I171+SUM(K171:L171),0)</formula>
    </cfRule>
  </conditionalFormatting>
  <conditionalFormatting sqref="C172">
    <cfRule type="cellIs" dxfId="179" priority="352" operator="notEqual">
      <formula>ROUND(D172+SUM(F172:G172),0)</formula>
    </cfRule>
  </conditionalFormatting>
  <conditionalFormatting sqref="H172">
    <cfRule type="cellIs" dxfId="178" priority="353" operator="notEqual">
      <formula>ROUND(I172+SUM(K172:L172),0)</formula>
    </cfRule>
  </conditionalFormatting>
  <conditionalFormatting sqref="C173">
    <cfRule type="cellIs" dxfId="177" priority="354" operator="notEqual">
      <formula>ROUND(D173+SUM(F173:G173),0)</formula>
    </cfRule>
  </conditionalFormatting>
  <conditionalFormatting sqref="H173">
    <cfRule type="cellIs" dxfId="176" priority="355" operator="notEqual">
      <formula>ROUND(I173+SUM(K173:L173),0)</formula>
    </cfRule>
  </conditionalFormatting>
  <conditionalFormatting sqref="C174">
    <cfRule type="cellIs" dxfId="175" priority="356" operator="notEqual">
      <formula>ROUND(D174+SUM(F174:G174),0)</formula>
    </cfRule>
  </conditionalFormatting>
  <conditionalFormatting sqref="H174">
    <cfRule type="cellIs" dxfId="174" priority="357" operator="notEqual">
      <formula>ROUND(I174+SUM(K174:L174),0)</formula>
    </cfRule>
  </conditionalFormatting>
  <conditionalFormatting sqref="C175">
    <cfRule type="cellIs" dxfId="173" priority="358" operator="notEqual">
      <formula>ROUND(D175+SUM(F175:G175),0)</formula>
    </cfRule>
  </conditionalFormatting>
  <conditionalFormatting sqref="H175">
    <cfRule type="cellIs" dxfId="172" priority="359" operator="notEqual">
      <formula>ROUND(I175+SUM(K175:L175),0)</formula>
    </cfRule>
  </conditionalFormatting>
  <conditionalFormatting sqref="C176">
    <cfRule type="cellIs" dxfId="171" priority="360" operator="notEqual">
      <formula>ROUND(D176+SUM(F176:G176),0)</formula>
    </cfRule>
  </conditionalFormatting>
  <conditionalFormatting sqref="H176">
    <cfRule type="cellIs" dxfId="170" priority="361" operator="notEqual">
      <formula>ROUND(I176+SUM(K176:L176),0)</formula>
    </cfRule>
  </conditionalFormatting>
  <conditionalFormatting sqref="C177">
    <cfRule type="cellIs" dxfId="169" priority="362" operator="notEqual">
      <formula>ROUND(D177+SUM(F177:G177),0)</formula>
    </cfRule>
  </conditionalFormatting>
  <conditionalFormatting sqref="H177">
    <cfRule type="cellIs" dxfId="168" priority="363" operator="notEqual">
      <formula>ROUND(I177+SUM(K177:L177),0)</formula>
    </cfRule>
  </conditionalFormatting>
  <conditionalFormatting sqref="C178">
    <cfRule type="cellIs" dxfId="167" priority="364" operator="notEqual">
      <formula>ROUND(D178+SUM(F178:G178),0)</formula>
    </cfRule>
  </conditionalFormatting>
  <conditionalFormatting sqref="H178">
    <cfRule type="cellIs" dxfId="166" priority="365" operator="notEqual">
      <formula>ROUND(I178+SUM(K178:L178),0)</formula>
    </cfRule>
  </conditionalFormatting>
  <conditionalFormatting sqref="C179">
    <cfRule type="cellIs" dxfId="165" priority="366" operator="notEqual">
      <formula>ROUND(D179+SUM(F179:G179),0)</formula>
    </cfRule>
  </conditionalFormatting>
  <conditionalFormatting sqref="H179">
    <cfRule type="cellIs" dxfId="164" priority="367" operator="notEqual">
      <formula>ROUND(I179+SUM(K179:L179),0)</formula>
    </cfRule>
  </conditionalFormatting>
  <conditionalFormatting sqref="C180">
    <cfRule type="cellIs" dxfId="163" priority="368" operator="notEqual">
      <formula>ROUND(D180+SUM(F180:G180),0)</formula>
    </cfRule>
  </conditionalFormatting>
  <conditionalFormatting sqref="H180">
    <cfRule type="cellIs" dxfId="162" priority="369" operator="notEqual">
      <formula>ROUND(I180+SUM(K180:L180),0)</formula>
    </cfRule>
  </conditionalFormatting>
  <conditionalFormatting sqref="C181">
    <cfRule type="cellIs" dxfId="161" priority="370" operator="notEqual">
      <formula>ROUND(D181+SUM(F181:G181),0)</formula>
    </cfRule>
  </conditionalFormatting>
  <conditionalFormatting sqref="H181">
    <cfRule type="cellIs" dxfId="160" priority="371" operator="notEqual">
      <formula>ROUND(I181+SUM(K181:L181),0)</formula>
    </cfRule>
  </conditionalFormatting>
  <conditionalFormatting sqref="C182">
    <cfRule type="cellIs" dxfId="159" priority="372" operator="notEqual">
      <formula>ROUND(D182+SUM(F182:G182),0)</formula>
    </cfRule>
  </conditionalFormatting>
  <conditionalFormatting sqref="H182">
    <cfRule type="cellIs" dxfId="158" priority="373" operator="notEqual">
      <formula>ROUND(I182+SUM(K182:L182),0)</formula>
    </cfRule>
  </conditionalFormatting>
  <conditionalFormatting sqref="C183">
    <cfRule type="cellIs" dxfId="157" priority="374" operator="notEqual">
      <formula>ROUND(D183+SUM(F183:G183),0)</formula>
    </cfRule>
  </conditionalFormatting>
  <conditionalFormatting sqref="H183">
    <cfRule type="cellIs" dxfId="156" priority="375" operator="notEqual">
      <formula>ROUND(I183+SUM(K183:L183),0)</formula>
    </cfRule>
  </conditionalFormatting>
  <conditionalFormatting sqref="C184">
    <cfRule type="cellIs" dxfId="155" priority="376" operator="notEqual">
      <formula>ROUND(D184+SUM(F184:G184),0)</formula>
    </cfRule>
  </conditionalFormatting>
  <conditionalFormatting sqref="H184">
    <cfRule type="cellIs" dxfId="154" priority="377" operator="notEqual">
      <formula>ROUND(I184+SUM(K184:L184),0)</formula>
    </cfRule>
  </conditionalFormatting>
  <conditionalFormatting sqref="C185">
    <cfRule type="cellIs" dxfId="153" priority="378" operator="notEqual">
      <formula>ROUND(D185+SUM(F185:G185),0)</formula>
    </cfRule>
  </conditionalFormatting>
  <conditionalFormatting sqref="H185">
    <cfRule type="cellIs" dxfId="152" priority="379" operator="notEqual">
      <formula>ROUND(I185+SUM(K185:L185),0)</formula>
    </cfRule>
  </conditionalFormatting>
  <conditionalFormatting sqref="C186">
    <cfRule type="cellIs" dxfId="151" priority="380" operator="notEqual">
      <formula>ROUND(D186+SUM(F186:G186),0)</formula>
    </cfRule>
  </conditionalFormatting>
  <conditionalFormatting sqref="H186">
    <cfRule type="cellIs" dxfId="150" priority="381" operator="notEqual">
      <formula>ROUND(I186+SUM(K186:L186),0)</formula>
    </cfRule>
  </conditionalFormatting>
  <conditionalFormatting sqref="C187">
    <cfRule type="cellIs" dxfId="149" priority="382" operator="notEqual">
      <formula>ROUND(D187+SUM(F187:G187),0)</formula>
    </cfRule>
  </conditionalFormatting>
  <conditionalFormatting sqref="H187">
    <cfRule type="cellIs" dxfId="148" priority="383" operator="notEqual">
      <formula>ROUND(I187+SUM(K187:L187),0)</formula>
    </cfRule>
  </conditionalFormatting>
  <conditionalFormatting sqref="C188">
    <cfRule type="cellIs" dxfId="147" priority="384" operator="notEqual">
      <formula>ROUND(D188+SUM(F188:G188),0)</formula>
    </cfRule>
  </conditionalFormatting>
  <conditionalFormatting sqref="H188">
    <cfRule type="cellIs" dxfId="146" priority="385" operator="notEqual">
      <formula>ROUND(I188+SUM(K188:L188),0)</formula>
    </cfRule>
  </conditionalFormatting>
  <conditionalFormatting sqref="C189">
    <cfRule type="cellIs" dxfId="145" priority="386" operator="notEqual">
      <formula>ROUND(D189+SUM(F189:G189),0)</formula>
    </cfRule>
  </conditionalFormatting>
  <conditionalFormatting sqref="H189">
    <cfRule type="cellIs" dxfId="144" priority="387" operator="notEqual">
      <formula>ROUND(I189+SUM(K189:L189),0)</formula>
    </cfRule>
  </conditionalFormatting>
  <conditionalFormatting sqref="C190">
    <cfRule type="cellIs" dxfId="143" priority="388" operator="notEqual">
      <formula>ROUND(D190+SUM(F190:G190),0)</formula>
    </cfRule>
  </conditionalFormatting>
  <conditionalFormatting sqref="H190">
    <cfRule type="cellIs" dxfId="142" priority="389" operator="notEqual">
      <formula>ROUND(I190+SUM(K190:L190),0)</formula>
    </cfRule>
  </conditionalFormatting>
  <conditionalFormatting sqref="C191">
    <cfRule type="cellIs" dxfId="141" priority="390" operator="notEqual">
      <formula>ROUND(D191+SUM(F191:G191),0)</formula>
    </cfRule>
  </conditionalFormatting>
  <conditionalFormatting sqref="H191">
    <cfRule type="cellIs" dxfId="140" priority="391" operator="notEqual">
      <formula>ROUND(I191+SUM(K191:L191),0)</formula>
    </cfRule>
  </conditionalFormatting>
  <conditionalFormatting sqref="C192">
    <cfRule type="cellIs" dxfId="139" priority="392" operator="notEqual">
      <formula>ROUND(D192+SUM(F192:G192),0)</formula>
    </cfRule>
  </conditionalFormatting>
  <conditionalFormatting sqref="H192">
    <cfRule type="cellIs" dxfId="138" priority="393" operator="notEqual">
      <formula>ROUND(I192+SUM(K192:L192),0)</formula>
    </cfRule>
  </conditionalFormatting>
  <conditionalFormatting sqref="C193">
    <cfRule type="cellIs" dxfId="137" priority="394" operator="notEqual">
      <formula>ROUND(D193+SUM(F193:G193),0)</formula>
    </cfRule>
  </conditionalFormatting>
  <conditionalFormatting sqref="H193">
    <cfRule type="cellIs" dxfId="136" priority="395" operator="notEqual">
      <formula>ROUND(I193+SUM(K193:L193),0)</formula>
    </cfRule>
  </conditionalFormatting>
  <conditionalFormatting sqref="C194">
    <cfRule type="cellIs" dxfId="135" priority="396" operator="notEqual">
      <formula>ROUND(D194+SUM(F194:G194),0)</formula>
    </cfRule>
  </conditionalFormatting>
  <conditionalFormatting sqref="H194">
    <cfRule type="cellIs" dxfId="134" priority="397" operator="notEqual">
      <formula>ROUND(I194+SUM(K194:L194),0)</formula>
    </cfRule>
  </conditionalFormatting>
  <conditionalFormatting sqref="C195">
    <cfRule type="cellIs" dxfId="133" priority="398" operator="notEqual">
      <formula>ROUND(D195+SUM(F195:G195),0)</formula>
    </cfRule>
  </conditionalFormatting>
  <conditionalFormatting sqref="H195">
    <cfRule type="cellIs" dxfId="132" priority="399" operator="notEqual">
      <formula>ROUND(I195+SUM(K195:L195),0)</formula>
    </cfRule>
  </conditionalFormatting>
  <conditionalFormatting sqref="C196">
    <cfRule type="cellIs" dxfId="131" priority="400" operator="notEqual">
      <formula>ROUND(D196+SUM(F196:G196),0)</formula>
    </cfRule>
  </conditionalFormatting>
  <conditionalFormatting sqref="H196">
    <cfRule type="cellIs" dxfId="130" priority="401" operator="notEqual">
      <formula>ROUND(I196+SUM(K196:L196),0)</formula>
    </cfRule>
  </conditionalFormatting>
  <conditionalFormatting sqref="C197">
    <cfRule type="cellIs" dxfId="129" priority="402" operator="notEqual">
      <formula>ROUND(D197+SUM(F197:G197),0)</formula>
    </cfRule>
  </conditionalFormatting>
  <conditionalFormatting sqref="H197">
    <cfRule type="cellIs" dxfId="128" priority="403" operator="notEqual">
      <formula>ROUND(I197+SUM(K197:L197),0)</formula>
    </cfRule>
  </conditionalFormatting>
  <conditionalFormatting sqref="C198">
    <cfRule type="cellIs" dxfId="127" priority="404" operator="notEqual">
      <formula>ROUND(D198+SUM(F198:G198),0)</formula>
    </cfRule>
  </conditionalFormatting>
  <conditionalFormatting sqref="H198">
    <cfRule type="cellIs" dxfId="126" priority="405" operator="notEqual">
      <formula>ROUND(I198+SUM(K198:L198),0)</formula>
    </cfRule>
  </conditionalFormatting>
  <conditionalFormatting sqref="C199">
    <cfRule type="cellIs" dxfId="125" priority="406" operator="notEqual">
      <formula>ROUND(D199+SUM(F199:G199),0)</formula>
    </cfRule>
  </conditionalFormatting>
  <conditionalFormatting sqref="H199">
    <cfRule type="cellIs" dxfId="124" priority="407" operator="notEqual">
      <formula>ROUND(I199+SUM(K199:L199),0)</formula>
    </cfRule>
  </conditionalFormatting>
  <conditionalFormatting sqref="C200">
    <cfRule type="cellIs" dxfId="123" priority="408" operator="notEqual">
      <formula>ROUND(D200+SUM(F200:G200),0)</formula>
    </cfRule>
  </conditionalFormatting>
  <conditionalFormatting sqref="H200">
    <cfRule type="cellIs" dxfId="122" priority="409" operator="notEqual">
      <formula>ROUND(I200+SUM(K200:L200),0)</formula>
    </cfRule>
  </conditionalFormatting>
  <conditionalFormatting sqref="C201">
    <cfRule type="cellIs" dxfId="121" priority="410" operator="notEqual">
      <formula>ROUND(D201+SUM(F201:G201),0)</formula>
    </cfRule>
  </conditionalFormatting>
  <conditionalFormatting sqref="H201">
    <cfRule type="cellIs" dxfId="120" priority="411" operator="notEqual">
      <formula>ROUND(I201+SUM(K201:L201),0)</formula>
    </cfRule>
  </conditionalFormatting>
  <conditionalFormatting sqref="C202">
    <cfRule type="cellIs" dxfId="119" priority="412" operator="notEqual">
      <formula>ROUND(D202+SUM(F202:G202),0)</formula>
    </cfRule>
  </conditionalFormatting>
  <conditionalFormatting sqref="H202">
    <cfRule type="cellIs" dxfId="118" priority="413" operator="notEqual">
      <formula>ROUND(I202+SUM(K202:L202),0)</formula>
    </cfRule>
  </conditionalFormatting>
  <conditionalFormatting sqref="C203">
    <cfRule type="cellIs" dxfId="117" priority="414" operator="notEqual">
      <formula>ROUND(D203+SUM(F203:G203),0)</formula>
    </cfRule>
  </conditionalFormatting>
  <conditionalFormatting sqref="H203">
    <cfRule type="cellIs" dxfId="116" priority="415" operator="notEqual">
      <formula>ROUND(I203+SUM(K203:L203),0)</formula>
    </cfRule>
  </conditionalFormatting>
  <conditionalFormatting sqref="C204">
    <cfRule type="cellIs" dxfId="115" priority="416" operator="notEqual">
      <formula>ROUND(D204+SUM(F204:G204),0)</formula>
    </cfRule>
  </conditionalFormatting>
  <conditionalFormatting sqref="H204">
    <cfRule type="cellIs" dxfId="114" priority="417" operator="notEqual">
      <formula>ROUND(I204+SUM(K204:L204),0)</formula>
    </cfRule>
  </conditionalFormatting>
  <conditionalFormatting sqref="C205">
    <cfRule type="cellIs" dxfId="113" priority="418" operator="notEqual">
      <formula>ROUND(D205+SUM(F205:G205),0)</formula>
    </cfRule>
  </conditionalFormatting>
  <conditionalFormatting sqref="H205">
    <cfRule type="cellIs" dxfId="112" priority="419" operator="notEqual">
      <formula>ROUND(I205+SUM(K205:L205),0)</formula>
    </cfRule>
  </conditionalFormatting>
  <conditionalFormatting sqref="C206">
    <cfRule type="cellIs" dxfId="111" priority="420" operator="notEqual">
      <formula>ROUND(D206+SUM(F206:G206),0)</formula>
    </cfRule>
  </conditionalFormatting>
  <conditionalFormatting sqref="H206">
    <cfRule type="cellIs" dxfId="110" priority="421" operator="notEqual">
      <formula>ROUND(I206+SUM(K206:L206),0)</formula>
    </cfRule>
  </conditionalFormatting>
  <conditionalFormatting sqref="C207">
    <cfRule type="cellIs" dxfId="109" priority="422" operator="notEqual">
      <formula>ROUND(D207+SUM(F207:G207),0)</formula>
    </cfRule>
  </conditionalFormatting>
  <conditionalFormatting sqref="H207">
    <cfRule type="cellIs" dxfId="108" priority="423" operator="notEqual">
      <formula>ROUND(I207+SUM(K207:L207),0)</formula>
    </cfRule>
  </conditionalFormatting>
  <conditionalFormatting sqref="C208">
    <cfRule type="cellIs" dxfId="107" priority="424" operator="notEqual">
      <formula>ROUND(D208+SUM(F208:G208),0)</formula>
    </cfRule>
  </conditionalFormatting>
  <conditionalFormatting sqref="H208">
    <cfRule type="cellIs" dxfId="106" priority="425" operator="notEqual">
      <formula>ROUND(I208+SUM(K208:L208),0)</formula>
    </cfRule>
  </conditionalFormatting>
  <conditionalFormatting sqref="C209">
    <cfRule type="cellIs" dxfId="105" priority="426" operator="notEqual">
      <formula>ROUND(D209+SUM(F209:G209),0)</formula>
    </cfRule>
  </conditionalFormatting>
  <conditionalFormatting sqref="H209">
    <cfRule type="cellIs" dxfId="104" priority="427" operator="notEqual">
      <formula>ROUND(I209+SUM(K209:L209),0)</formula>
    </cfRule>
  </conditionalFormatting>
  <conditionalFormatting sqref="C210">
    <cfRule type="cellIs" dxfId="103" priority="428" operator="notEqual">
      <formula>ROUND(D210+SUM(F210:G210),0)</formula>
    </cfRule>
  </conditionalFormatting>
  <conditionalFormatting sqref="H210">
    <cfRule type="cellIs" dxfId="102" priority="429" operator="notEqual">
      <formula>ROUND(I210+SUM(K210:L210),0)</formula>
    </cfRule>
  </conditionalFormatting>
  <conditionalFormatting sqref="C211">
    <cfRule type="cellIs" dxfId="101" priority="430" operator="notEqual">
      <formula>ROUND(D211+SUM(F211:G211),0)</formula>
    </cfRule>
  </conditionalFormatting>
  <conditionalFormatting sqref="H211">
    <cfRule type="cellIs" dxfId="100" priority="431" operator="notEqual">
      <formula>ROUND(I211+SUM(K211:L211),0)</formula>
    </cfRule>
  </conditionalFormatting>
  <conditionalFormatting sqref="C212">
    <cfRule type="cellIs" dxfId="99" priority="432" operator="notEqual">
      <formula>ROUND(D212+SUM(F212:G212),0)</formula>
    </cfRule>
  </conditionalFormatting>
  <conditionalFormatting sqref="H212">
    <cfRule type="cellIs" dxfId="98" priority="433" operator="notEqual">
      <formula>ROUND(I212+SUM(K212:L212),0)</formula>
    </cfRule>
  </conditionalFormatting>
  <conditionalFormatting sqref="C213">
    <cfRule type="cellIs" dxfId="97" priority="434" operator="notEqual">
      <formula>ROUND(D213+SUM(F213:G213),0)</formula>
    </cfRule>
  </conditionalFormatting>
  <conditionalFormatting sqref="H213">
    <cfRule type="cellIs" dxfId="96" priority="435" operator="notEqual">
      <formula>ROUND(I213+SUM(K213:L213),0)</formula>
    </cfRule>
  </conditionalFormatting>
  <conditionalFormatting sqref="C214">
    <cfRule type="cellIs" dxfId="95" priority="436" operator="notEqual">
      <formula>ROUND(D214+SUM(F214:G214),0)</formula>
    </cfRule>
  </conditionalFormatting>
  <conditionalFormatting sqref="H214">
    <cfRule type="cellIs" dxfId="94" priority="437" operator="notEqual">
      <formula>ROUND(I214+SUM(K214:L214),0)</formula>
    </cfRule>
  </conditionalFormatting>
  <conditionalFormatting sqref="C215">
    <cfRule type="cellIs" dxfId="93" priority="438" operator="notEqual">
      <formula>ROUND(D215+SUM(F215:G215),0)</formula>
    </cfRule>
  </conditionalFormatting>
  <conditionalFormatting sqref="H215">
    <cfRule type="cellIs" dxfId="92" priority="439" operator="notEqual">
      <formula>ROUND(I215+SUM(K215:L215),0)</formula>
    </cfRule>
  </conditionalFormatting>
  <conditionalFormatting sqref="C216">
    <cfRule type="cellIs" dxfId="91" priority="440" operator="notEqual">
      <formula>ROUND(D216+SUM(F216:G216),0)</formula>
    </cfRule>
  </conditionalFormatting>
  <conditionalFormatting sqref="H216">
    <cfRule type="cellIs" dxfId="90" priority="441" operator="notEqual">
      <formula>ROUND(I216+SUM(K216:L216),0)</formula>
    </cfRule>
  </conditionalFormatting>
  <conditionalFormatting sqref="C217">
    <cfRule type="cellIs" dxfId="89" priority="442" operator="notEqual">
      <formula>ROUND(D217+SUM(F217:G217),0)</formula>
    </cfRule>
  </conditionalFormatting>
  <conditionalFormatting sqref="H217">
    <cfRule type="cellIs" dxfId="88" priority="443" operator="notEqual">
      <formula>ROUND(I217+SUM(K217:L217),0)</formula>
    </cfRule>
  </conditionalFormatting>
  <conditionalFormatting sqref="C218">
    <cfRule type="cellIs" dxfId="87" priority="444" operator="notEqual">
      <formula>ROUND(D218+SUM(F218:G218),0)</formula>
    </cfRule>
  </conditionalFormatting>
  <conditionalFormatting sqref="H218">
    <cfRule type="cellIs" dxfId="86" priority="445" operator="notEqual">
      <formula>ROUND(I218+SUM(K218:L218),0)</formula>
    </cfRule>
  </conditionalFormatting>
  <conditionalFormatting sqref="C219">
    <cfRule type="cellIs" dxfId="85" priority="446" operator="notEqual">
      <formula>ROUND(D219+SUM(F219:G219),0)</formula>
    </cfRule>
  </conditionalFormatting>
  <conditionalFormatting sqref="H219">
    <cfRule type="cellIs" dxfId="84" priority="447" operator="notEqual">
      <formula>ROUND(I219+SUM(K219:L219),0)</formula>
    </cfRule>
  </conditionalFormatting>
  <conditionalFormatting sqref="C220">
    <cfRule type="cellIs" dxfId="83" priority="448" operator="notEqual">
      <formula>ROUND(D220+SUM(F220:G220),0)</formula>
    </cfRule>
  </conditionalFormatting>
  <conditionalFormatting sqref="H220">
    <cfRule type="cellIs" dxfId="82" priority="449" operator="notEqual">
      <formula>ROUND(I220+SUM(K220:L220),0)</formula>
    </cfRule>
  </conditionalFormatting>
  <conditionalFormatting sqref="C221">
    <cfRule type="cellIs" dxfId="81" priority="450" operator="notEqual">
      <formula>ROUND(D221+SUM(F221:G221),0)</formula>
    </cfRule>
  </conditionalFormatting>
  <conditionalFormatting sqref="H221">
    <cfRule type="cellIs" dxfId="80" priority="451" operator="notEqual">
      <formula>ROUND(I221+SUM(K221:L221),0)</formula>
    </cfRule>
  </conditionalFormatting>
  <conditionalFormatting sqref="C222">
    <cfRule type="cellIs" dxfId="79" priority="452" operator="notEqual">
      <formula>ROUND(D222+SUM(F222:G222),0)</formula>
    </cfRule>
  </conditionalFormatting>
  <conditionalFormatting sqref="H222">
    <cfRule type="cellIs" dxfId="78" priority="453" operator="notEqual">
      <formula>ROUND(I222+SUM(K222:L222),0)</formula>
    </cfRule>
  </conditionalFormatting>
  <conditionalFormatting sqref="C223">
    <cfRule type="cellIs" dxfId="77" priority="454" operator="notEqual">
      <formula>ROUND(D223+SUM(F223:G223),0)</formula>
    </cfRule>
  </conditionalFormatting>
  <conditionalFormatting sqref="H223">
    <cfRule type="cellIs" dxfId="76" priority="455" operator="notEqual">
      <formula>ROUND(I223+SUM(K223:L223),0)</formula>
    </cfRule>
  </conditionalFormatting>
  <conditionalFormatting sqref="C224">
    <cfRule type="cellIs" dxfId="75" priority="456" operator="notEqual">
      <formula>ROUND(D224+SUM(F224:G224),0)</formula>
    </cfRule>
  </conditionalFormatting>
  <conditionalFormatting sqref="H224">
    <cfRule type="cellIs" dxfId="74" priority="457" operator="notEqual">
      <formula>ROUND(I224+SUM(K224:L224),0)</formula>
    </cfRule>
  </conditionalFormatting>
  <conditionalFormatting sqref="C225">
    <cfRule type="cellIs" dxfId="73" priority="458" operator="notEqual">
      <formula>ROUND(D225+SUM(F225:G225),0)</formula>
    </cfRule>
  </conditionalFormatting>
  <conditionalFormatting sqref="H225">
    <cfRule type="cellIs" dxfId="72" priority="459" operator="notEqual">
      <formula>ROUND(I225+SUM(K225:L225),0)</formula>
    </cfRule>
  </conditionalFormatting>
  <conditionalFormatting sqref="C226">
    <cfRule type="cellIs" dxfId="71" priority="460" operator="notEqual">
      <formula>ROUND(D226+SUM(F226:G226),0)</formula>
    </cfRule>
  </conditionalFormatting>
  <conditionalFormatting sqref="H226">
    <cfRule type="cellIs" dxfId="70" priority="461" operator="notEqual">
      <formula>ROUND(I226+SUM(K226:L226),0)</formula>
    </cfRule>
  </conditionalFormatting>
  <conditionalFormatting sqref="C227">
    <cfRule type="cellIs" dxfId="69" priority="462" operator="notEqual">
      <formula>ROUND(D227+SUM(F227:G227),0)</formula>
    </cfRule>
  </conditionalFormatting>
  <conditionalFormatting sqref="H227">
    <cfRule type="cellIs" dxfId="68" priority="463" operator="notEqual">
      <formula>ROUND(I227+SUM(K227:L227),0)</formula>
    </cfRule>
  </conditionalFormatting>
  <conditionalFormatting sqref="C228">
    <cfRule type="cellIs" dxfId="67" priority="464" operator="notEqual">
      <formula>ROUND(D228+SUM(F228:G228),0)</formula>
    </cfRule>
  </conditionalFormatting>
  <conditionalFormatting sqref="H228">
    <cfRule type="cellIs" dxfId="66" priority="465" operator="notEqual">
      <formula>ROUND(I228+SUM(K228:L228),0)</formula>
    </cfRule>
  </conditionalFormatting>
  <conditionalFormatting sqref="C229">
    <cfRule type="cellIs" dxfId="65" priority="466" operator="notEqual">
      <formula>ROUND(D229+SUM(F229:G229),0)</formula>
    </cfRule>
  </conditionalFormatting>
  <conditionalFormatting sqref="H229">
    <cfRule type="cellIs" dxfId="64" priority="467" operator="notEqual">
      <formula>ROUND(I229+SUM(K229:L229),0)</formula>
    </cfRule>
  </conditionalFormatting>
  <conditionalFormatting sqref="C230">
    <cfRule type="cellIs" dxfId="63" priority="468" operator="notEqual">
      <formula>ROUND(D230+SUM(F230:G230),0)</formula>
    </cfRule>
  </conditionalFormatting>
  <conditionalFormatting sqref="H230">
    <cfRule type="cellIs" dxfId="62" priority="469" operator="notEqual">
      <formula>ROUND(I230+SUM(K230:L230),0)</formula>
    </cfRule>
  </conditionalFormatting>
  <conditionalFormatting sqref="C231">
    <cfRule type="cellIs" dxfId="61" priority="470" operator="notEqual">
      <formula>ROUND(D231+SUM(F231:G231),0)</formula>
    </cfRule>
  </conditionalFormatting>
  <conditionalFormatting sqref="H231">
    <cfRule type="cellIs" dxfId="60" priority="471" operator="notEqual">
      <formula>ROUND(I231+SUM(K231:L231),0)</formula>
    </cfRule>
  </conditionalFormatting>
  <conditionalFormatting sqref="C232">
    <cfRule type="cellIs" dxfId="59" priority="472" operator="notEqual">
      <formula>ROUND(D232+SUM(F232:G232),0)</formula>
    </cfRule>
  </conditionalFormatting>
  <conditionalFormatting sqref="H232">
    <cfRule type="cellIs" dxfId="58" priority="473" operator="notEqual">
      <formula>ROUND(I232+SUM(K232:L232),0)</formula>
    </cfRule>
  </conditionalFormatting>
  <conditionalFormatting sqref="C233">
    <cfRule type="cellIs" dxfId="57" priority="474" operator="notEqual">
      <formula>ROUND(D233+SUM(F233:G233),0)</formula>
    </cfRule>
  </conditionalFormatting>
  <conditionalFormatting sqref="H233">
    <cfRule type="cellIs" dxfId="56" priority="475" operator="notEqual">
      <formula>ROUND(I233+SUM(K233:L233),0)</formula>
    </cfRule>
  </conditionalFormatting>
  <conditionalFormatting sqref="C234">
    <cfRule type="cellIs" dxfId="55" priority="476" operator="notEqual">
      <formula>ROUND(D234+SUM(F234:G234),0)</formula>
    </cfRule>
  </conditionalFormatting>
  <conditionalFormatting sqref="H234">
    <cfRule type="cellIs" dxfId="54" priority="477" operator="notEqual">
      <formula>ROUND(I234+SUM(K234:L234),0)</formula>
    </cfRule>
  </conditionalFormatting>
  <conditionalFormatting sqref="C235">
    <cfRule type="cellIs" dxfId="53" priority="478" operator="notEqual">
      <formula>ROUND(D235+SUM(F235:G235),0)</formula>
    </cfRule>
  </conditionalFormatting>
  <conditionalFormatting sqref="H235">
    <cfRule type="cellIs" dxfId="52" priority="479" operator="notEqual">
      <formula>ROUND(I235+SUM(K235:L235),0)</formula>
    </cfRule>
  </conditionalFormatting>
  <conditionalFormatting sqref="C236">
    <cfRule type="cellIs" dxfId="51" priority="480" operator="notEqual">
      <formula>ROUND(D236+SUM(F236:G236),0)</formula>
    </cfRule>
  </conditionalFormatting>
  <conditionalFormatting sqref="H236">
    <cfRule type="cellIs" dxfId="50" priority="481" operator="notEqual">
      <formula>ROUND(I236+SUM(K236:L236),0)</formula>
    </cfRule>
  </conditionalFormatting>
  <conditionalFormatting sqref="C237">
    <cfRule type="cellIs" dxfId="49" priority="482" operator="notEqual">
      <formula>ROUND(D237+SUM(F237:G237),0)</formula>
    </cfRule>
  </conditionalFormatting>
  <conditionalFormatting sqref="H237">
    <cfRule type="cellIs" dxfId="48" priority="483" operator="notEqual">
      <formula>ROUND(I237+SUM(K237:L237),0)</formula>
    </cfRule>
  </conditionalFormatting>
  <conditionalFormatting sqref="C238">
    <cfRule type="cellIs" dxfId="47" priority="484" operator="notEqual">
      <formula>ROUND(D238+SUM(F238:G238),0)</formula>
    </cfRule>
  </conditionalFormatting>
  <conditionalFormatting sqref="H238">
    <cfRule type="cellIs" dxfId="46" priority="485" operator="notEqual">
      <formula>ROUND(I238+SUM(K238:L238),0)</formula>
    </cfRule>
  </conditionalFormatting>
  <conditionalFormatting sqref="C239">
    <cfRule type="cellIs" dxfId="45" priority="486" operator="notEqual">
      <formula>ROUND(D239+SUM(F239:G239),0)</formula>
    </cfRule>
  </conditionalFormatting>
  <conditionalFormatting sqref="H239">
    <cfRule type="cellIs" dxfId="44" priority="487" operator="notEqual">
      <formula>ROUND(I239+SUM(K239:L239),0)</formula>
    </cfRule>
  </conditionalFormatting>
  <conditionalFormatting sqref="C240">
    <cfRule type="cellIs" dxfId="43" priority="488" operator="notEqual">
      <formula>ROUND(D240+SUM(F240:G240),0)</formula>
    </cfRule>
  </conditionalFormatting>
  <conditionalFormatting sqref="H240">
    <cfRule type="cellIs" dxfId="42" priority="489" operator="notEqual">
      <formula>ROUND(I240+SUM(K240:L240),0)</formula>
    </cfRule>
  </conditionalFormatting>
  <conditionalFormatting sqref="C241">
    <cfRule type="cellIs" dxfId="41" priority="490" operator="notEqual">
      <formula>ROUND(D241+SUM(F241:G241),0)</formula>
    </cfRule>
  </conditionalFormatting>
  <conditionalFormatting sqref="H241">
    <cfRule type="cellIs" dxfId="40" priority="491" operator="notEqual">
      <formula>ROUND(I241+SUM(K241:L241),0)</formula>
    </cfRule>
  </conditionalFormatting>
  <conditionalFormatting sqref="C242">
    <cfRule type="cellIs" dxfId="39" priority="492" operator="notEqual">
      <formula>ROUND(D242+SUM(F242:G242),0)</formula>
    </cfRule>
  </conditionalFormatting>
  <conditionalFormatting sqref="H242">
    <cfRule type="cellIs" dxfId="38" priority="493" operator="notEqual">
      <formula>ROUND(I242+SUM(K242:L242),0)</formula>
    </cfRule>
  </conditionalFormatting>
  <conditionalFormatting sqref="C243">
    <cfRule type="cellIs" dxfId="37" priority="494" operator="notEqual">
      <formula>ROUND(D243+SUM(F243:G243),0)</formula>
    </cfRule>
  </conditionalFormatting>
  <conditionalFormatting sqref="H243">
    <cfRule type="cellIs" dxfId="36" priority="495" operator="notEqual">
      <formula>ROUND(I243+SUM(K243:L243),0)</formula>
    </cfRule>
  </conditionalFormatting>
  <conditionalFormatting sqref="C244">
    <cfRule type="cellIs" dxfId="35" priority="496" operator="notEqual">
      <formula>ROUND(D244+SUM(F244:G244),0)</formula>
    </cfRule>
  </conditionalFormatting>
  <conditionalFormatting sqref="H244">
    <cfRule type="cellIs" dxfId="34" priority="497" operator="notEqual">
      <formula>ROUND(I244+SUM(K244:L244),0)</formula>
    </cfRule>
  </conditionalFormatting>
  <conditionalFormatting sqref="C245">
    <cfRule type="cellIs" dxfId="33" priority="498" operator="notEqual">
      <formula>ROUND(D245+SUM(F245:G245),0)</formula>
    </cfRule>
  </conditionalFormatting>
  <conditionalFormatting sqref="H245">
    <cfRule type="cellIs" dxfId="32" priority="499" operator="notEqual">
      <formula>ROUND(I245+SUM(K245:L245),0)</formula>
    </cfRule>
  </conditionalFormatting>
  <conditionalFormatting sqref="C246">
    <cfRule type="cellIs" dxfId="31" priority="500" operator="notEqual">
      <formula>ROUND(D246+SUM(F246:G246),0)</formula>
    </cfRule>
  </conditionalFormatting>
  <conditionalFormatting sqref="H246">
    <cfRule type="cellIs" dxfId="30" priority="501" operator="notEqual">
      <formula>ROUND(I246+SUM(K246:L246),0)</formula>
    </cfRule>
  </conditionalFormatting>
  <conditionalFormatting sqref="C247">
    <cfRule type="cellIs" dxfId="29" priority="502" operator="notEqual">
      <formula>ROUND(D247+SUM(F247:G247),0)</formula>
    </cfRule>
  </conditionalFormatting>
  <conditionalFormatting sqref="H247">
    <cfRule type="cellIs" dxfId="28" priority="503" operator="notEqual">
      <formula>ROUND(I247+SUM(K247:L247),0)</formula>
    </cfRule>
  </conditionalFormatting>
  <conditionalFormatting sqref="C248">
    <cfRule type="cellIs" dxfId="27" priority="504" operator="notEqual">
      <formula>ROUND(D248+SUM(F248:G248),0)</formula>
    </cfRule>
  </conditionalFormatting>
  <conditionalFormatting sqref="H248">
    <cfRule type="cellIs" dxfId="26" priority="505" operator="notEqual">
      <formula>ROUND(I248+SUM(K248:L248),0)</formula>
    </cfRule>
  </conditionalFormatting>
  <conditionalFormatting sqref="C249">
    <cfRule type="cellIs" dxfId="25" priority="506" operator="notEqual">
      <formula>ROUND(D249+SUM(F249:G249),0)</formula>
    </cfRule>
  </conditionalFormatting>
  <conditionalFormatting sqref="H249">
    <cfRule type="cellIs" dxfId="24" priority="507" operator="notEqual">
      <formula>ROUND(I249+SUM(K249:L249),0)</formula>
    </cfRule>
  </conditionalFormatting>
  <conditionalFormatting sqref="C250">
    <cfRule type="cellIs" dxfId="23" priority="508" operator="notEqual">
      <formula>ROUND(D250+SUM(F250:G250),0)</formula>
    </cfRule>
  </conditionalFormatting>
  <conditionalFormatting sqref="H250">
    <cfRule type="cellIs" dxfId="22" priority="509" operator="notEqual">
      <formula>ROUND(I250+SUM(K250:L250),0)</formula>
    </cfRule>
  </conditionalFormatting>
  <conditionalFormatting sqref="C251">
    <cfRule type="cellIs" dxfId="21" priority="510" operator="notEqual">
      <formula>ROUND(D251+SUM(F251:G251),0)</formula>
    </cfRule>
  </conditionalFormatting>
  <conditionalFormatting sqref="H251">
    <cfRule type="cellIs" dxfId="20" priority="511" operator="notEqual">
      <formula>ROUND(I251+SUM(K251:L251),0)</formula>
    </cfRule>
  </conditionalFormatting>
  <conditionalFormatting sqref="C252">
    <cfRule type="cellIs" dxfId="19" priority="512" operator="notEqual">
      <formula>ROUND(D252+SUM(F252:G252),0)</formula>
    </cfRule>
  </conditionalFormatting>
  <conditionalFormatting sqref="H252">
    <cfRule type="cellIs" dxfId="18" priority="513" operator="notEqual">
      <formula>ROUND(I252+SUM(K252:L252),0)</formula>
    </cfRule>
  </conditionalFormatting>
  <conditionalFormatting sqref="C253">
    <cfRule type="cellIs" dxfId="17" priority="514" operator="notEqual">
      <formula>ROUND(D253+SUM(F253:G253),0)</formula>
    </cfRule>
  </conditionalFormatting>
  <conditionalFormatting sqref="H253">
    <cfRule type="cellIs" dxfId="16" priority="515" operator="notEqual">
      <formula>ROUND(I253+SUM(K253:L253),0)</formula>
    </cfRule>
  </conditionalFormatting>
  <conditionalFormatting sqref="C254">
    <cfRule type="cellIs" dxfId="15" priority="516" operator="notEqual">
      <formula>ROUND(D254+SUM(F254:G254),0)</formula>
    </cfRule>
  </conditionalFormatting>
  <conditionalFormatting sqref="H254">
    <cfRule type="cellIs" dxfId="14" priority="517" operator="notEqual">
      <formula>ROUND(I254+SUM(K254:L254),0)</formula>
    </cfRule>
  </conditionalFormatting>
  <conditionalFormatting sqref="C255">
    <cfRule type="cellIs" dxfId="13" priority="518" operator="notEqual">
      <formula>ROUND(D255+SUM(F255:G255),0)</formula>
    </cfRule>
  </conditionalFormatting>
  <conditionalFormatting sqref="H255">
    <cfRule type="cellIs" dxfId="12" priority="519" operator="notEqual">
      <formula>ROUND(I255+SUM(K255:L255),0)</formula>
    </cfRule>
  </conditionalFormatting>
  <conditionalFormatting sqref="C256">
    <cfRule type="cellIs" dxfId="11" priority="520" operator="notEqual">
      <formula>ROUND(D256+SUM(F256:G256),0)</formula>
    </cfRule>
  </conditionalFormatting>
  <conditionalFormatting sqref="H256">
    <cfRule type="cellIs" dxfId="10" priority="521" operator="notEqual">
      <formula>ROUND(I256+SUM(K256:L256),0)</formula>
    </cfRule>
  </conditionalFormatting>
  <conditionalFormatting sqref="C257">
    <cfRule type="cellIs" dxfId="9" priority="522" operator="notEqual">
      <formula>ROUND(D257+SUM(F257:G257),0)</formula>
    </cfRule>
  </conditionalFormatting>
  <conditionalFormatting sqref="H257">
    <cfRule type="cellIs" dxfId="8" priority="523" operator="notEqual">
      <formula>ROUND(I257+SUM(K257:L257),0)</formula>
    </cfRule>
  </conditionalFormatting>
  <conditionalFormatting sqref="C258">
    <cfRule type="cellIs" dxfId="7" priority="524" operator="notEqual">
      <formula>ROUND(D258+SUM(F258:G258),0)</formula>
    </cfRule>
  </conditionalFormatting>
  <conditionalFormatting sqref="H258">
    <cfRule type="cellIs" dxfId="6" priority="525" operator="notEqual">
      <formula>ROUND(I258+SUM(K258:L258),0)</formula>
    </cfRule>
  </conditionalFormatting>
  <conditionalFormatting sqref="C259">
    <cfRule type="cellIs" dxfId="5" priority="526" operator="notEqual">
      <formula>ROUND(D259+SUM(F259:G259),0)</formula>
    </cfRule>
  </conditionalFormatting>
  <conditionalFormatting sqref="H259">
    <cfRule type="cellIs" dxfId="4" priority="527" operator="notEqual">
      <formula>ROUND(I259+SUM(K259:L259),0)</formula>
    </cfRule>
  </conditionalFormatting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showGridLines="0" workbookViewId="0"/>
  </sheetViews>
  <sheetFormatPr defaultRowHeight="15" x14ac:dyDescent="0.25"/>
  <cols>
    <col min="1" max="1" width="46.5703125" customWidth="1"/>
    <col min="2" max="2" width="10" customWidth="1"/>
    <col min="13" max="13" width="250" customWidth="1"/>
  </cols>
  <sheetData>
    <row r="1" spans="1:13" ht="50.1" customHeight="1" x14ac:dyDescent="0.25">
      <c r="A1" s="12" t="s">
        <v>806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3" x14ac:dyDescent="0.25">
      <c r="A2" s="14" t="s">
        <v>14</v>
      </c>
      <c r="B2" s="14" t="s">
        <v>15</v>
      </c>
      <c r="C2" s="14" t="s">
        <v>549</v>
      </c>
      <c r="D2" s="14"/>
      <c r="E2" s="14"/>
      <c r="F2" s="14"/>
      <c r="G2" s="14"/>
      <c r="H2" s="14" t="s">
        <v>550</v>
      </c>
      <c r="I2" s="14"/>
      <c r="J2" s="14"/>
      <c r="K2" s="14"/>
      <c r="L2" s="14"/>
    </row>
    <row r="3" spans="1:13" x14ac:dyDescent="0.25">
      <c r="A3" s="14"/>
      <c r="B3" s="14"/>
      <c r="C3" s="14" t="s">
        <v>18</v>
      </c>
      <c r="D3" s="14" t="s">
        <v>19</v>
      </c>
      <c r="E3" s="14"/>
      <c r="F3" s="14"/>
      <c r="G3" s="14"/>
      <c r="H3" s="14" t="s">
        <v>18</v>
      </c>
      <c r="I3" s="14" t="s">
        <v>551</v>
      </c>
      <c r="J3" s="14"/>
      <c r="K3" s="14"/>
      <c r="L3" s="14"/>
    </row>
    <row r="4" spans="1:13" ht="60" x14ac:dyDescent="0.25">
      <c r="A4" s="14"/>
      <c r="B4" s="14"/>
      <c r="C4" s="14"/>
      <c r="D4" s="1" t="s">
        <v>20</v>
      </c>
      <c r="E4" s="1" t="s">
        <v>21</v>
      </c>
      <c r="F4" s="1" t="s">
        <v>22</v>
      </c>
      <c r="G4" s="1" t="s">
        <v>23</v>
      </c>
      <c r="H4" s="14"/>
      <c r="I4" s="1" t="s">
        <v>20</v>
      </c>
      <c r="J4" s="1" t="s">
        <v>21</v>
      </c>
      <c r="K4" s="1" t="s">
        <v>22</v>
      </c>
      <c r="L4" s="1" t="s">
        <v>23</v>
      </c>
    </row>
    <row r="5" spans="1:13" x14ac:dyDescent="0.25">
      <c r="A5" s="14"/>
      <c r="B5" s="14"/>
      <c r="C5" s="1" t="s">
        <v>24</v>
      </c>
      <c r="D5" s="1" t="s">
        <v>25</v>
      </c>
      <c r="E5" s="1" t="s">
        <v>26</v>
      </c>
      <c r="F5" s="1" t="s">
        <v>27</v>
      </c>
      <c r="G5" s="1" t="s">
        <v>28</v>
      </c>
      <c r="H5" s="1" t="s">
        <v>29</v>
      </c>
      <c r="I5" s="1" t="s">
        <v>30</v>
      </c>
      <c r="J5" s="1" t="s">
        <v>31</v>
      </c>
      <c r="K5" s="1" t="s">
        <v>32</v>
      </c>
      <c r="L5" s="1" t="s">
        <v>33</v>
      </c>
    </row>
    <row r="6" spans="1:13" ht="30" customHeight="1" x14ac:dyDescent="0.25">
      <c r="A6" s="2" t="s">
        <v>807</v>
      </c>
      <c r="B6" s="1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3" ht="30" customHeight="1" x14ac:dyDescent="0.25">
      <c r="A7" s="2" t="s">
        <v>808</v>
      </c>
      <c r="B7" s="1" t="s">
        <v>809</v>
      </c>
      <c r="C7" s="7"/>
      <c r="D7" s="7"/>
      <c r="E7" s="7"/>
      <c r="F7" s="7"/>
      <c r="G7" s="7"/>
      <c r="H7" s="7"/>
      <c r="I7" s="7"/>
      <c r="J7" s="7"/>
      <c r="K7" s="7"/>
      <c r="L7" s="7"/>
      <c r="M7" s="3" t="str">
        <f>IFERROR(IF(C7=ROUND(D7+SUM(F7:G7),0)," "," Стр. 507, Гр. 1 [C7]  д.б. = [Окр(D7+Сум(F7:G7),0)] {" &amp; ROUND(D7+SUM(F7:G7),0) &amp; "}.")," ") &amp; IFERROR(IF(H7=ROUND(I7+SUM(K7:L7),0)," "," Стр. 507, Гр. 6 [H7]  д.б. = [Окр(I7+Сум(K7:L7),0)] {" &amp; ROUND(I7+SUM(K7:L7),0) &amp; "}.")," ")</f>
        <v xml:space="preserve">  </v>
      </c>
    </row>
    <row r="8" spans="1:13" ht="30" customHeight="1" x14ac:dyDescent="0.25">
      <c r="A8" s="2" t="s">
        <v>810</v>
      </c>
      <c r="B8" s="1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3" ht="30" customHeight="1" x14ac:dyDescent="0.25">
      <c r="A9" s="2" t="s">
        <v>808</v>
      </c>
      <c r="B9" s="1" t="s">
        <v>811</v>
      </c>
      <c r="C9" s="7"/>
      <c r="D9" s="7"/>
      <c r="E9" s="7"/>
      <c r="F9" s="7"/>
      <c r="G9" s="7"/>
      <c r="H9" s="7"/>
      <c r="I9" s="7"/>
      <c r="J9" s="7"/>
      <c r="K9" s="7"/>
      <c r="L9" s="7"/>
      <c r="M9" s="3" t="str">
        <f>IFERROR(IF(C9=ROUND(D9+SUM(F9:G9),0)," "," Стр. 508, Гр. 1 [C9]  д.б. = [Окр(D9+Сум(F9:G9),0)] {" &amp; ROUND(D9+SUM(F9:G9),0) &amp; "}.")," ") &amp; IFERROR(IF(H9=ROUND(I9+SUM(K9:L9),0)," "," Стр. 508, Гр. 6 [H9]  д.б. = [Окр(I9+Сум(K9:L9),0)] {" &amp; ROUND(I9+SUM(K9:L9),0) &amp; "}.")," ")</f>
        <v xml:space="preserve">  </v>
      </c>
    </row>
    <row r="11" spans="1:13" x14ac:dyDescent="0.25">
      <c r="A11" s="6" t="s">
        <v>539</v>
      </c>
    </row>
    <row r="12" spans="1:13" ht="75" customHeight="1" x14ac:dyDescent="0.25">
      <c r="A12" s="11" t="s">
        <v>812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spans="1:13" x14ac:dyDescent="0.25">
      <c r="A13" s="6" t="s">
        <v>541</v>
      </c>
    </row>
    <row r="14" spans="1:13" ht="75" customHeight="1" x14ac:dyDescent="0.25">
      <c r="A14" s="9" t="s">
        <v>1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3" x14ac:dyDescent="0.25">
      <c r="A15" s="6" t="s">
        <v>542</v>
      </c>
    </row>
    <row r="16" spans="1:13" x14ac:dyDescent="0.25">
      <c r="A16" t="s">
        <v>543</v>
      </c>
      <c r="B16" s="9" t="s">
        <v>1</v>
      </c>
      <c r="C16" s="9"/>
      <c r="D16" s="9"/>
      <c r="E16" s="9"/>
    </row>
    <row r="17" spans="1:5" x14ac:dyDescent="0.25">
      <c r="A17" t="s">
        <v>544</v>
      </c>
      <c r="B17" s="9" t="s">
        <v>1</v>
      </c>
      <c r="C17" s="9"/>
      <c r="D17" s="9"/>
      <c r="E17" s="9"/>
    </row>
    <row r="18" spans="1:5" x14ac:dyDescent="0.25">
      <c r="A18" t="s">
        <v>545</v>
      </c>
      <c r="B18" s="9" t="s">
        <v>1</v>
      </c>
      <c r="C18" s="9"/>
      <c r="D18" s="9"/>
      <c r="E18" s="9"/>
    </row>
    <row r="19" spans="1:5" x14ac:dyDescent="0.25">
      <c r="A19" t="s">
        <v>546</v>
      </c>
      <c r="B19" s="9" t="s">
        <v>1</v>
      </c>
      <c r="C19" s="9"/>
      <c r="D19" s="9"/>
      <c r="E19" s="9"/>
    </row>
    <row r="20" spans="1:5" x14ac:dyDescent="0.25">
      <c r="A20" t="s">
        <v>547</v>
      </c>
      <c r="B20" s="9" t="s">
        <v>1</v>
      </c>
      <c r="C20" s="9"/>
      <c r="D20" s="9"/>
      <c r="E20" s="9"/>
    </row>
  </sheetData>
  <sheetProtection password="CF66" sheet="1" objects="1" scenarios="1" formatColumns="0" formatRows="0"/>
  <mergeCells count="18">
    <mergeCell ref="A1:L1"/>
    <mergeCell ref="A2:A5"/>
    <mergeCell ref="B2:B5"/>
    <mergeCell ref="C2:G2"/>
    <mergeCell ref="H2:L2"/>
    <mergeCell ref="C3:C4"/>
    <mergeCell ref="D3:G3"/>
    <mergeCell ref="H3:H4"/>
    <mergeCell ref="I3:L3"/>
    <mergeCell ref="B17:E17"/>
    <mergeCell ref="B18:E18"/>
    <mergeCell ref="B19:E19"/>
    <mergeCell ref="B20:E20"/>
    <mergeCell ref="C6:L6"/>
    <mergeCell ref="C8:L8"/>
    <mergeCell ref="A12:L12"/>
    <mergeCell ref="A14:L14"/>
    <mergeCell ref="B16:E16"/>
  </mergeCells>
  <conditionalFormatting sqref="C7">
    <cfRule type="cellIs" dxfId="3" priority="1" operator="notEqual">
      <formula>ROUND(D7+SUM(F7:G7),0)</formula>
    </cfRule>
  </conditionalFormatting>
  <conditionalFormatting sqref="H7">
    <cfRule type="cellIs" dxfId="2" priority="2" operator="notEqual">
      <formula>ROUND(I7+SUM(K7:L7),0)</formula>
    </cfRule>
  </conditionalFormatting>
  <conditionalFormatting sqref="C9">
    <cfRule type="cellIs" dxfId="1" priority="3" operator="notEqual">
      <formula>ROUND(D9+SUM(F9:G9),0)</formula>
    </cfRule>
  </conditionalFormatting>
  <conditionalFormatting sqref="H9">
    <cfRule type="cellIs" dxfId="0" priority="4" operator="notEqual">
      <formula>ROUND(I9+SUM(K9:L9),0)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2022-12-21T11:40:09Z</dcterms:created>
  <dcterms:modified xsi:type="dcterms:W3CDTF">2024-12-18T12:35:59Z</dcterms:modified>
</cp:coreProperties>
</file>