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  <sheet name="Раздел 2" r:id="rId5" sheetId="3"/>
    <sheet name="Раздел 3" r:id="rId6" sheetId="4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1">
    <numFmt numFmtId="164" formatCode="dd/mm/yyyy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4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0" fontId="0" fillId="0" borderId="10" xfId="0" applyBorder="true">
      <protection locked="true"/>
    </xf>
    <xf numFmtId="1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</cellXfs>
  <dxfs count="106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3.179687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S22.12.6</t>
        </is>
      </c>
    </row>
    <row r="4">
      <c r="A4" s="5" t="inlineStr">
        <is>
          <t>Название секции</t>
        </is>
      </c>
      <c r="B4" s="5" t="inlineStr">
        <is>
          <t>S22.Вопросник № 12 по статистике населения</t>
        </is>
      </c>
    </row>
    <row r="5">
      <c r="A5" s="5" t="inlineStr">
        <is>
          <t>Название формы</t>
        </is>
      </c>
      <c r="B5" s="5" t="inlineStr">
        <is>
          <t>12.6.Общие итоги миграции (человек)</t>
        </is>
      </c>
    </row>
    <row r="6">
      <c r="A6" s="5" t="inlineStr">
        <is>
          <t>Версия шаблона</t>
        </is>
      </c>
      <c r="B6" s="5" t="inlineStr">
        <is>
          <t>2026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26 мая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46035.556891886576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13" max="13" width="250.0" customWidth="true"/>
    <col min="1" max="1" width="65.24609375" customWidth="true"/>
    <col min="2" max="2" width="10.0" customWidth="true"/>
  </cols>
  <sheetData>
    <row r="1" customHeight="true" ht="50.0">
      <c r="A1" s="3" t="inlineStr">
        <is>
          <t>Раздел 1. Мужчины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Число прибывших в страну на постоянное жительство</t>
        </is>
      </c>
      <c r="D2" s="1"/>
      <c r="E2" s="1"/>
      <c r="F2" s="1"/>
      <c r="G2" s="1"/>
      <c r="H2" s="1" t="inlineStr">
        <is>
          <t>Число выбывших в другие страны на постоянное жительство</t>
        </is>
      </c>
      <c r="I2" s="1"/>
      <c r="J2" s="1"/>
      <c r="K2" s="1"/>
      <c r="L2" s="1"/>
    </row>
    <row r="3">
      <c r="A3" s="1"/>
      <c r="B3" s="1"/>
      <c r="C3" s="1" t="inlineStr">
        <is>
          <t>Всего</t>
        </is>
      </c>
      <c r="D3" s="1" t="inlineStr">
        <is>
          <t>в том числе в возрасте</t>
        </is>
      </c>
      <c r="E3" s="1"/>
      <c r="F3" s="1"/>
      <c r="G3" s="1"/>
      <c r="H3" s="1" t="inlineStr">
        <is>
          <t>Всего</t>
        </is>
      </c>
      <c r="I3" s="1" t="inlineStr">
        <is>
          <t>в том числе в возрасте</t>
        </is>
      </c>
      <c r="J3" s="1"/>
      <c r="K3" s="1"/>
      <c r="L3" s="1"/>
    </row>
    <row r="4">
      <c r="A4" s="1"/>
      <c r="B4" s="1"/>
      <c r="C4" s="1"/>
      <c r="D4" s="1" t="inlineStr">
        <is>
          <t>моложе трудоспособного</t>
        </is>
      </c>
      <c r="E4" s="1" t="inlineStr">
        <is>
          <t>15-29 лет</t>
        </is>
      </c>
      <c r="F4" s="1" t="inlineStr">
        <is>
          <t>трудоспособном</t>
        </is>
      </c>
      <c r="G4" s="1" t="inlineStr">
        <is>
          <t>старше трудоспособного</t>
        </is>
      </c>
      <c r="H4" s="1"/>
      <c r="I4" s="1" t="inlineStr">
        <is>
          <t>моложе трудоспособного</t>
        </is>
      </c>
      <c r="J4" s="1" t="inlineStr">
        <is>
          <t>15-29 лет</t>
        </is>
      </c>
      <c r="K4" s="1" t="inlineStr">
        <is>
          <t>трудоспособном</t>
        </is>
      </c>
      <c r="L4" s="1" t="inlineStr">
        <is>
          <t>старше трудоспособного</t>
        </is>
      </c>
    </row>
    <row r="5">
      <c r="A5" s="1"/>
      <c r="B5" s="1"/>
      <c r="C5" s="1" t="inlineStr">
        <is>
          <t>1</t>
        </is>
      </c>
      <c r="D5" s="1" t="inlineStr">
        <is>
          <t>2</t>
        </is>
      </c>
      <c r="E5" s="1" t="inlineStr">
        <is>
          <t>3</t>
        </is>
      </c>
      <c r="F5" s="1" t="inlineStr">
        <is>
          <t>4</t>
        </is>
      </c>
      <c r="G5" s="1" t="inlineStr">
        <is>
          <t>5</t>
        </is>
      </c>
      <c r="H5" s="1" t="inlineStr">
        <is>
          <t>6</t>
        </is>
      </c>
      <c r="I5" s="1" t="inlineStr">
        <is>
          <t>7</t>
        </is>
      </c>
      <c r="J5" s="1" t="inlineStr">
        <is>
          <t>8</t>
        </is>
      </c>
      <c r="K5" s="1" t="inlineStr">
        <is>
          <t>9</t>
        </is>
      </c>
      <c r="L5" s="1" t="inlineStr">
        <is>
          <t>10</t>
        </is>
      </c>
    </row>
    <row r="6" customHeight="true" ht="30.0">
      <c r="A6" s="5" t="inlineStr">
        <is>
          <t>Международная миграция. Мужчины</t>
        </is>
      </c>
      <c r="B6" s="1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customHeight="true" ht="30.0">
      <c r="A7" s="5" t="inlineStr">
        <is>
          <t>Всего</t>
        </is>
      </c>
      <c r="B7" s="1" t="inlineStr">
        <is>
          <t>01</t>
        </is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13">
        <f>IFERROR(If(C7=Round(C8+C20+C259,0)," "," Стр. 01, Гр. 1 [C7]  д.б. = [Окр(C8+C20+C259,0)] {" &amp; Round(C8+C20+C259,0) &amp; "}.")," ") &amp; IFERROR(If(C7&lt;=Round(D7+Sum(F7:G7),0)," "," Стр. 01, Гр. 1 [C7]  д.б. &lt;= [Окр(D7+Сум(F7:G7),0)] {" &amp; Round(D7+Sum(F7:G7),0) &amp; "}.")," ") &amp; IFERROR(If(D7=Round(D8+D20+D259,0)," "," Стр. 01, Гр. 2 [D7]  д.б. = [Окр(D8+D20+D259,0)] {" &amp; Round(D8+D20+D259,0) &amp; "}.")," ") &amp; IFERROR(If(E7=Round(E8+E20+E259,0)," "," Стр. 01, Гр. 3 [E7]  д.б. = [Окр(E8+E20+E259,0)] {" &amp; Round(E8+E20+E259,0) &amp; "}.")," ") &amp; IFERROR(If(F7=Round(F8+F20+F259,0)," "," Стр. 01, Гр. 4 [F7]  д.б. = [Окр(F8+F20+F259,0)] {" &amp; Round(F8+F20+F259,0) &amp; "}.")," ") &amp; IFERROR(If(G7=Round(G8+G20+G259,0)," "," Стр. 01, Гр. 5 [G7]  д.б. = [Окр(G8+G20+G259,0)] {" &amp; Round(G8+G20+G259,0) &amp; "}.")," ") &amp; IFERROR(If(H7=Round(H8+H20+H26,0)," "," Стр. 01, Гр. 6 [H7]  д.б. = [Окр(H8+H20+H26,0)] {" &amp; Round(H8+H20+H26,0) &amp; "}.")," ") &amp; IFERROR(If(H7=Round(I7+Sum(K7:L7),0)," "," Стр. 01, Гр. 6 [H7]  д.б. = [Окр(I7+Сум(K7:L7),0)] {" &amp; Round(I7+Sum(K7:L7),0) &amp; "}.")," ") &amp; IFERROR(If(I7=Round(I8+I20+I259,0)," "," Стр. 01, Гр. 7 [I7]  д.б. = [Окр(I8+I20+I259,0)] {" &amp; Round(I8+I20+I259,0) &amp; "}.")," ") &amp; IFERROR(If(J7=Round(J8+J20+J259,0)," "," Стр. 01, Гр. 8 [J7]  д.б. = [Окр(J8+J20+J259,0)] {" &amp; Round(J8+J20+J259,0) &amp; "}.")," ") &amp; IFERROR(If(K7=Round(K8+K20+K259,0)," "," Стр. 01, Гр. 9 [K7]  д.б. = [Окр(K8+K20+K259,0)] {" &amp; Round(K8+K20+K259,0) &amp; "}.")," ") &amp; IFERROR(If(L7=Round(L8+L20+L259,0)," "," Стр. 01, Гр. 10 [L7]  д.б. = [Окр(L8+L20+L259,0)] {" &amp; Round(L8+L20+L259,0) &amp; "}.")," ")</f>
        <v>0.0</v>
      </c>
    </row>
    <row r="8" customHeight="true" ht="30.0">
      <c r="A8" s="5" t="inlineStr">
        <is>
          <t>Страны - участники СНГ - всего</t>
        </is>
      </c>
      <c r="B8" s="1" t="inlineStr">
        <is>
          <t>02</t>
        </is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13">
        <f>IFERROR(If(C8=Round(Sum(C9:C19),0)," "," Стр. 02, Гр. 1 [C8]  д.б. = [Окр(Сум(C9:C19),0)] {" &amp; Round(Sum(C9:C19),0) &amp; "}.")," ") &amp; IFERROR(If(C8=Round(D8+Sum(F8:G8),0)," "," Стр. 02, Гр. 1 [C8]  д.б. = [Окр(D8+Сум(F8:G8),0)] {" &amp; Round(D8+Sum(F8:G8),0) &amp; "}.")," ") &amp; IFERROR(If(D8=Round(Sum(D9:D19),0)," "," Стр. 02, Гр. 2 [D8]  д.б. = [Окр(Сум(D9:D19),0)] {" &amp; Round(Sum(D9:D19),0) &amp; "}.")," ") &amp; IFERROR(If(E8=Round(Sum(E9:E19),0)," "," Стр. 02, Гр. 3 [E8]  д.б. = [Окр(Сум(E9:E19),0)] {" &amp; Round(Sum(E9:E19),0) &amp; "}.")," ") &amp; IFERROR(If(F8=Round(Sum(F9:F19),0)," "," Стр. 02, Гр. 4 [F8]  д.б. = [Окр(Сум(F9:F19),0)] {" &amp; Round(Sum(F9:F19),0) &amp; "}.")," ") &amp; IFERROR(If(G8=Round(Sum(G9:G19),0)," "," Стр. 02, Гр. 5 [G8]  д.б. = [Окр(Сум(G9:G19),0)] {" &amp; Round(Sum(G9:G19),0) &amp; "}.")," ") &amp; IFERROR(If(H8=Round(Sum(H9:H19),0)," "," Стр. 02, Гр. 6 [H8]  д.б. = [Окр(Сум(H9:H19),0)] {" &amp; Round(Sum(H9:H19),0) &amp; "}.")," ") &amp; IFERROR(If(H8=Round(I8+Sum(K8:L8),0)," "," Стр. 02, Гр. 6 [H8]  д.б. = [Окр(I8+Сум(K8:L8),0)] {" &amp; Round(I8+Sum(K8:L8),0) &amp; "}.")," ") &amp; IFERROR(If(I8=Round(Sum(I9:I19),0)," "," Стр. 02, Гр. 7 [I8]  д.б. = [Окр(Сум(I9:I19),0)] {" &amp; Round(Sum(I9:I19),0) &amp; "}.")," ") &amp; IFERROR(If(J8=Round(Sum(J9:J19),0)," "," Стр. 02, Гр. 8 [J8]  д.б. = [Окр(Сум(J9:J19),0)] {" &amp; Round(Sum(J9:J19),0) &amp; "}.")," ") &amp; IFERROR(If(K8=Round(Sum(K9:K19),0)," "," Стр. 02, Гр. 9 [K8]  д.б. = [Окр(Сум(K9:K19),0)] {" &amp; Round(Sum(K9:K19),0) &amp; "}.")," ") &amp; IFERROR(If(L8=Round(Sum(L9:L19),0)," "," Стр. 02, Гр. 10 [L8]  д.б. = [Окр(Сум(L9:L19),0)] {" &amp; Round(Sum(L9:L19),0) &amp; "}.")," ")</f>
        <v>0.0</v>
      </c>
    </row>
    <row r="9" customHeight="true" ht="30.0">
      <c r="A9" s="5" t="inlineStr">
        <is>
          <t>Азербайджан</t>
        </is>
      </c>
      <c r="B9" s="1" t="inlineStr">
        <is>
          <t>03</t>
        </is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13">
        <f>IFERROR(If(C9=Round(D9+Sum(F9:G9),0)," "," Стр. 03, Гр. 1 [C9]  д.б. = [Окр(D9+Сум(F9:G9),0)] {" &amp; Round(D9+Sum(F9:G9),0) &amp; "}.")," ") &amp; IFERROR(If(H9=Round(I9+Sum(K9:L9),0)," "," Стр. 03, Гр. 6 [H9]  д.б. = [Окр(I9+Сум(K9:L9),0)] {" &amp; Round(I9+Sum(K9:L9),0) &amp; "}.")," ")</f>
        <v>0.0</v>
      </c>
    </row>
    <row r="10" customHeight="true" ht="30.0">
      <c r="A10" s="5" t="inlineStr">
        <is>
          <t>Армения</t>
        </is>
      </c>
      <c r="B10" s="1" t="inlineStr">
        <is>
          <t>04</t>
        </is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3">
        <f>IFERROR(If(C10=Round(D10+Sum(F10:G10),0)," "," Стр. 04, Гр. 1 [C10]  д.б. = [Окр(D10+Сум(F10:G10),0)] {" &amp; Round(D10+Sum(F10:G10),0) &amp; "}.")," ") &amp; IFERROR(If(H10=Round(I10+Sum(K10:L10),0)," "," Стр. 04, Гр. 6 [H10]  д.б. = [Окр(I10+Сум(K10:L10),0)] {" &amp; Round(I10+Sum(K10:L10),0) &amp; "}.")," ")</f>
        <v>0.0</v>
      </c>
    </row>
    <row r="11" customHeight="true" ht="30.0">
      <c r="A11" s="5" t="inlineStr">
        <is>
          <t>Беларусь</t>
        </is>
      </c>
      <c r="B11" s="1" t="inlineStr">
        <is>
          <t>05</t>
        </is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13">
        <f>IFERROR(If(C11=Round(D11+Sum(F11:G11),0)," "," Стр. 05, Гр. 1 [C11]  д.б. = [Окр(D11+Сум(F11:G11),0)] {" &amp; Round(D11+Sum(F11:G11),0) &amp; "}.")," ") &amp; IFERROR(If(H11=Round(I11+Sum(K11:L11),0)," "," Стр. 05, Гр. 6 [H11]  д.б. = [Окр(I11+Сум(K11:L11),0)] {" &amp; Round(I11+Sum(K11:L11),0) &amp; "}.")," ")</f>
        <v>0.0</v>
      </c>
    </row>
    <row r="12" customHeight="true" ht="30.0">
      <c r="A12" s="5" t="inlineStr">
        <is>
          <t>Казахстан</t>
        </is>
      </c>
      <c r="B12" s="1" t="inlineStr">
        <is>
          <t>06</t>
        </is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13">
        <f>IFERROR(If(C12=Round(D12+Sum(F12:G12),0)," "," Стр. 06, Гр. 1 [C12]  д.б. = [Окр(D12+Сум(F12:G12),0)] {" &amp; Round(D12+Sum(F12:G12),0) &amp; "}.")," ") &amp; IFERROR(If(H12=Round(I12+Sum(K12:L12),0)," "," Стр. 06, Гр. 6 [H12]  д.б. = [Окр(I12+Сум(K12:L12),0)] {" &amp; Round(I12+Sum(K12:L12),0) &amp; "}.")," ")</f>
        <v>0.0</v>
      </c>
    </row>
    <row r="13" customHeight="true" ht="30.0">
      <c r="A13" s="5" t="inlineStr">
        <is>
          <t>Кыргызстан</t>
        </is>
      </c>
      <c r="B13" s="1" t="inlineStr">
        <is>
          <t>07</t>
        </is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3">
        <f>IFERROR(If(C13=Round(D13+Sum(F13:G13),0)," "," Стр. 07, Гр. 1 [C13]  д.б. = [Окр(D13+Сум(F13:G13),0)] {" &amp; Round(D13+Sum(F13:G13),0) &amp; "}.")," ") &amp; IFERROR(If(H13=Round(I13+Sum(K13:L13),0)," "," Стр. 07, Гр. 6 [H13]  д.б. = [Окр(I13+Сум(K13:L13),0)] {" &amp; Round(I13+Sum(K13:L13),0) &amp; "}.")," ")</f>
        <v>0.0</v>
      </c>
    </row>
    <row r="14" customHeight="true" ht="30.0">
      <c r="A14" s="5" t="inlineStr">
        <is>
          <t>Молдова</t>
        </is>
      </c>
      <c r="B14" s="1" t="inlineStr">
        <is>
          <t>08</t>
        </is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3">
        <f>IFERROR(If(C14=Round(D14+Sum(F14:G14),0)," "," Стр. 08, Гр. 1 [C14]  д.б. = [Окр(D14+Сум(F14:G14),0)] {" &amp; Round(D14+Sum(F14:G14),0) &amp; "}.")," ") &amp; IFERROR(If(H14=Round(I14+Sum(K14:L14),0)," "," Стр. 08, Гр. 6 [H14]  д.б. = [Окр(I14+Сум(K14:L14),0)] {" &amp; Round(I14+Sum(K14:L14),0) &amp; "}.")," ")</f>
        <v>0.0</v>
      </c>
    </row>
    <row r="15" customHeight="true" ht="30.0">
      <c r="A15" s="5" t="inlineStr">
        <is>
          <t>Россия</t>
        </is>
      </c>
      <c r="B15" s="1" t="inlineStr">
        <is>
          <t>09</t>
        </is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13">
        <f>IFERROR(If(C15=Round(D15+Sum(F15:G15),0)," "," Стр. 09, Гр. 1 [C15]  д.б. = [Окр(D15+Сум(F15:G15),0)] {" &amp; Round(D15+Sum(F15:G15),0) &amp; "}.")," ") &amp; IFERROR(If(H15=Round(I15+Sum(K15:L15),0)," "," Стр. 09, Гр. 6 [H15]  д.б. = [Окр(I15+Сум(K15:L15),0)] {" &amp; Round(I15+Sum(K15:L15),0) &amp; "}.")," ")</f>
        <v>0.0</v>
      </c>
    </row>
    <row r="16" customHeight="true" ht="30.0">
      <c r="A16" s="5" t="inlineStr">
        <is>
          <t>Таджикистан</t>
        </is>
      </c>
      <c r="B16" s="1" t="inlineStr">
        <is>
          <t>10</t>
        </is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13">
        <f>IFERROR(If(C16=Round(D16+Sum(F16:G16),0)," "," Стр. 10, Гр. 1 [C16]  д.б. = [Окр(D16+Сум(F16:G16),0)] {" &amp; Round(D16+Sum(F16:G16),0) &amp; "}.")," ") &amp; IFERROR(If(H16=Round(I16+Sum(K16:L16),0)," "," Стр. 10, Гр. 6 [H16]  д.б. = [Окр(I16+Сум(K16:L16),0)] {" &amp; Round(I16+Sum(K16:L16),0) &amp; "}.")," ")</f>
        <v>0.0</v>
      </c>
    </row>
    <row r="17" customHeight="true" ht="30.0">
      <c r="A17" s="5" t="inlineStr">
        <is>
          <t>Туркменистан</t>
        </is>
      </c>
      <c r="B17" s="1" t="inlineStr">
        <is>
          <t>11</t>
        </is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3">
        <f>IFERROR(If(C17=Round(D17+Sum(F17:G17),0)," "," Стр. 11, Гр. 1 [C17]  д.б. = [Окр(D17+Сум(F17:G17),0)] {" &amp; Round(D17+Sum(F17:G17),0) &amp; "}.")," ") &amp; IFERROR(If(H17=Round(I17+Sum(K17:L17),0)," "," Стр. 11, Гр. 6 [H17]  д.б. = [Окр(I17+Сум(K17:L17),0)] {" &amp; Round(I17+Sum(K17:L17),0) &amp; "}.")," ")</f>
        <v>0.0</v>
      </c>
    </row>
    <row r="18" customHeight="true" ht="30.0">
      <c r="A18" s="5" t="inlineStr">
        <is>
          <t>Узбекистан</t>
        </is>
      </c>
      <c r="B18" s="1" t="inlineStr">
        <is>
          <t>12</t>
        </is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13">
        <f>IFERROR(If(C18=Round(D18+Sum(F18:G18),0)," "," Стр. 12, Гр. 1 [C18]  д.б. = [Окр(D18+Сум(F18:G18),0)] {" &amp; Round(D18+Sum(F18:G18),0) &amp; "}.")," ") &amp; IFERROR(If(H18=Round(I18+Sum(K18:L18),0)," "," Стр. 12, Гр. 6 [H18]  д.б. = [Окр(I18+Сум(K18:L18),0)] {" &amp; Round(I18+Sum(K18:L18),0) &amp; "}.")," ")</f>
        <v>0.0</v>
      </c>
    </row>
    <row r="19" customHeight="true" ht="30.0">
      <c r="A19" s="5" t="inlineStr">
        <is>
          <t>Украина</t>
        </is>
      </c>
      <c r="B19" s="1" t="inlineStr">
        <is>
          <t>13</t>
        </is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13">
        <f>IFERROR(If(C19=Round(D19+Sum(F19:G19),0)," "," Стр. 13, Гр. 1 [C19]  д.б. = [Окр(D19+Сум(F19:G19),0)] {" &amp; Round(D19+Sum(F19:G19),0) &amp; "}.")," ") &amp; IFERROR(If(H19=Round(I19+Sum(K19:L19),0)," "," Стр. 13, Гр. 6 [H19]  д.б. = [Окр(I19+Сум(K19:L19),0)] {" &amp; Round(I19+Sum(K19:L19),0) &amp; "}.")," ")</f>
        <v>0.0</v>
      </c>
    </row>
    <row r="20" customHeight="true" ht="30.0">
      <c r="A20" s="5" t="inlineStr">
        <is>
          <t>Другие зарубежные страны - всего</t>
        </is>
      </c>
      <c r="B20" s="1" t="inlineStr">
        <is>
          <t>14</t>
        </is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13">
        <f>IFERROR(If(C20=Round(Sum(C21:C258),0)," "," Стр. 14, Гр. 1 [C20]  д.б. = [Окр(Сум(C21:C258),0)] {" &amp; Round(Sum(C21:C258),0) &amp; "}.")," ") &amp; IFERROR(If(C20=Round(D20+Sum(F20:G20),0)," "," Стр. 14, Гр. 1 [C20]  д.б. = [Окр(D20+Сум(F20:G20),0)] {" &amp; Round(D20+Sum(F20:G20),0) &amp; "}.")," ") &amp; IFERROR(If(D20=Round(Sum(D21:D258),0)," "," Стр. 14, Гр. 2 [D20]  д.б. = [Окр(Сум(D21:D258),0)] {" &amp; Round(Sum(D21:D258),0) &amp; "}.")," ") &amp; IFERROR(If(E20=Round(Sum(E21:E258),0)," "," Стр. 14, Гр. 3 [E20]  д.б. = [Окр(Сум(E21:E258),0)] {" &amp; Round(Sum(E21:E258),0) &amp; "}.")," ") &amp; IFERROR(If(F20=Round(Sum(F21:F258),0)," "," Стр. 14, Гр. 4 [F20]  д.б. = [Окр(Сум(F21:F258),0)] {" &amp; Round(Sum(F21:F258),0) &amp; "}.")," ") &amp; IFERROR(If(G20=Round(Sum(G21:G258),0)," "," Стр. 14, Гр. 5 [G20]  д.б. = [Окр(Сум(G21:G258),0)] {" &amp; Round(Sum(G21:G258),0) &amp; "}.")," ") &amp; IFERROR(If(H20=Round(Sum(H21:H258),0)," "," Стр. 14, Гр. 6 [H20]  д.б. = [Окр(Сум(H21:H258),0)] {" &amp; Round(Sum(H21:H258),0) &amp; "}.")," ") &amp; IFERROR(If(H20=Round(I20+Sum(K20:L20),0)," "," Стр. 14, Гр. 6 [H20]  д.б. = [Окр(I20+Сум(K20:L20),0)] {" &amp; Round(I20+Sum(K20:L20),0) &amp; "}.")," ") &amp; IFERROR(If(I20=Round(Sum(I21:I258),0)," "," Стр. 14, Гр. 7 [I20]  д.б. = [Окр(Сум(I21:I258),0)] {" &amp; Round(Sum(I21:I258),0) &amp; "}.")," ") &amp; IFERROR(If(J20=Round(Sum(J21:J258),0)," "," Стр. 14, Гр. 8 [J20]  д.б. = [Окр(Сум(J21:J258),0)] {" &amp; Round(Sum(J21:J258),0) &amp; "}.")," ") &amp; IFERROR(If(K20=Round(Sum(K21:K258),0)," "," Стр. 14, Гр. 9 [K20]  д.б. = [Окр(Сум(K21:K258),0)] {" &amp; Round(Sum(K21:K258),0) &amp; "}.")," ") &amp; IFERROR(If(L20=Round(Sum(L21:L258),0)," "," Стр. 14, Гр. 10 [L20]  д.б. = [Окр(Сум(L21:L258),0)] {" &amp; Round(Sum(L21:L258),0) &amp; "}.")," ")</f>
        <v>0.0</v>
      </c>
    </row>
    <row r="21" customHeight="true" ht="30.0">
      <c r="A21" s="5" t="inlineStr">
        <is>
          <t>Афганистан</t>
        </is>
      </c>
      <c r="B21" s="1" t="inlineStr">
        <is>
          <t>15</t>
        </is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13">
        <f>IFERROR(If(C21=Round(D21+Sum(F21:G21),0)," "," Стр. 15, Гр. 1 [C21]  д.б. = [Окр(D21+Сум(F21:G21),0)] {" &amp; Round(D21+Sum(F21:G21),0) &amp; "}.")," ") &amp; IFERROR(If(H21=Round(I21+Sum(K21:L21),0)," "," Стр. 15, Гр. 6 [H21]  д.б. = [Окр(I21+Сум(K21:L21),0)] {" &amp; Round(I21+Sum(K21:L21),0) &amp; "}.")," ")</f>
        <v>0.0</v>
      </c>
    </row>
    <row r="22" customHeight="true" ht="30.0">
      <c r="A22" s="5" t="inlineStr">
        <is>
          <t>Албания</t>
        </is>
      </c>
      <c r="B22" s="1" t="inlineStr">
        <is>
          <t>16</t>
        </is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13">
        <f>IFERROR(If(C22=Round(D22+Sum(F22:G22),0)," "," Стр. 16, Гр. 1 [C22]  д.б. = [Окр(D22+Сум(F22:G22),0)] {" &amp; Round(D22+Sum(F22:G22),0) &amp; "}.")," ") &amp; IFERROR(If(H22=Round(I22+Sum(K22:L22),0)," "," Стр. 16, Гр. 6 [H22]  д.б. = [Окр(I22+Сум(K22:L22),0)] {" &amp; Round(I22+Sum(K22:L22),0) &amp; "}.")," ")</f>
        <v>0.0</v>
      </c>
    </row>
    <row r="23" customHeight="true" ht="30.0">
      <c r="A23" s="5" t="inlineStr">
        <is>
          <t>Антарктида</t>
        </is>
      </c>
      <c r="B23" s="1" t="inlineStr">
        <is>
          <t>17</t>
        </is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3">
        <f>IFERROR(If(C23=Round(D23+Sum(F23:G23),0)," "," Стр. 17, Гр. 1 [C23]  д.б. = [Окр(D23+Сум(F23:G23),0)] {" &amp; Round(D23+Sum(F23:G23),0) &amp; "}.")," ") &amp; IFERROR(If(H23=Round(I23+Sum(K23:L23),0)," "," Стр. 17, Гр. 6 [H23]  д.б. = [Окр(I23+Сум(K23:L23),0)] {" &amp; Round(I23+Sum(K23:L23),0) &amp; "}.")," ")</f>
        <v>0.0</v>
      </c>
    </row>
    <row r="24" customHeight="true" ht="30.0">
      <c r="A24" s="5" t="inlineStr">
        <is>
          <t>Алжир</t>
        </is>
      </c>
      <c r="B24" s="1" t="inlineStr">
        <is>
          <t>18</t>
        </is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13">
        <f>IFERROR(If(C24=Round(D24+Sum(F24:G24),0)," "," Стр. 18, Гр. 1 [C24]  д.б. = [Окр(D24+Сум(F24:G24),0)] {" &amp; Round(D24+Sum(F24:G24),0) &amp; "}.")," ") &amp; IFERROR(If(H24=Round(I24+Sum(K24:L24),0)," "," Стр. 18, Гр. 6 [H24]  д.б. = [Окр(I24+Сум(K24:L24),0)] {" &amp; Round(I24+Sum(K24:L24),0) &amp; "}.")," ")</f>
        <v>0.0</v>
      </c>
    </row>
    <row r="25" customHeight="true" ht="30.0">
      <c r="A25" s="5" t="inlineStr">
        <is>
          <t>Американское Самоа</t>
        </is>
      </c>
      <c r="B25" s="1" t="inlineStr">
        <is>
          <t>19</t>
        </is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13">
        <f>IFERROR(If(C25=Round(D25+Sum(F25:G25),0)," "," Стр. 19, Гр. 1 [C25]  д.б. = [Окр(D25+Сум(F25:G25),0)] {" &amp; Round(D25+Sum(F25:G25),0) &amp; "}.")," ") &amp; IFERROR(If(H25=Round(I25+Sum(K25:L25),0)," "," Стр. 19, Гр. 6 [H25]  д.б. = [Окр(I25+Сум(K25:L25),0)] {" &amp; Round(I25+Sum(K25:L25),0) &amp; "}.")," ")</f>
        <v>0.0</v>
      </c>
    </row>
    <row r="26" customHeight="true" ht="30.0">
      <c r="A26" s="5" t="inlineStr">
        <is>
          <t>Андорра</t>
        </is>
      </c>
      <c r="B26" s="1" t="inlineStr">
        <is>
          <t>20</t>
        </is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13">
        <f>IFERROR(If(C26=Round(D26+Sum(F26:G26),0)," "," Стр. 20, Гр. 1 [C26]  д.б. = [Окр(D26+Сум(F26:G26),0)] {" &amp; Round(D26+Sum(F26:G26),0) &amp; "}.")," ") &amp; IFERROR(If(H26=Round(I26+Sum(K26:L26),0)," "," Стр. 20, Гр. 6 [H26]  д.б. = [Окр(I26+Сум(K26:L26),0)] {" &amp; Round(I26+Sum(K26:L26),0) &amp; "}.")," ")</f>
        <v>0.0</v>
      </c>
    </row>
    <row r="27" customHeight="true" ht="30.0">
      <c r="A27" s="5" t="inlineStr">
        <is>
          <t>Ангола</t>
        </is>
      </c>
      <c r="B27" s="1" t="inlineStr">
        <is>
          <t>21</t>
        </is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13">
        <f>IFERROR(If(C27=Round(D27+Sum(F27:G27),0)," "," Стр. 21, Гр. 1 [C27]  д.б. = [Окр(D27+Сум(F27:G27),0)] {" &amp; Round(D27+Sum(F27:G27),0) &amp; "}.")," ") &amp; IFERROR(If(H27=Round(I27+Sum(K27:L27),0)," "," Стр. 21, Гр. 6 [H27]  д.б. = [Окр(I27+Сум(K27:L27),0)] {" &amp; Round(I27+Sum(K27:L27),0) &amp; "}.")," ")</f>
        <v>0.0</v>
      </c>
    </row>
    <row r="28" customHeight="true" ht="30.0">
      <c r="A28" s="5" t="inlineStr">
        <is>
          <t>Антигуа и Барбуда</t>
        </is>
      </c>
      <c r="B28" s="1" t="inlineStr">
        <is>
          <t>22</t>
        </is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13">
        <f>IFERROR(If(C28=Round(D28+Sum(F28:G28),0)," "," Стр. 22, Гр. 1 [C28]  д.б. = [Окр(D28+Сум(F28:G28),0)] {" &amp; Round(D28+Sum(F28:G28),0) &amp; "}.")," ") &amp; IFERROR(If(H28=Round(I28+Sum(K28:L28),0)," "," Стр. 22, Гр. 6 [H28]  д.б. = [Окр(I28+Сум(K28:L28),0)] {" &amp; Round(I28+Sum(K28:L28),0) &amp; "}.")," ")</f>
        <v>0.0</v>
      </c>
    </row>
    <row r="29" customHeight="true" ht="30.0">
      <c r="A29" s="5" t="inlineStr">
        <is>
          <t>Аргентина</t>
        </is>
      </c>
      <c r="B29" s="1" t="inlineStr">
        <is>
          <t>23</t>
        </is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13">
        <f>IFERROR(If(C29=Round(D29+Sum(F29:G29),0)," "," Стр. 23, Гр. 1 [C29]  д.б. = [Окр(D29+Сум(F29:G29),0)] {" &amp; Round(D29+Sum(F29:G29),0) &amp; "}.")," ") &amp; IFERROR(If(H29=Round(I29+Sum(K29:L29),0)," "," Стр. 23, Гр. 6 [H29]  д.б. = [Окр(I29+Сум(K29:L29),0)] {" &amp; Round(I29+Sum(K29:L29),0) &amp; "}.")," ")</f>
        <v>0.0</v>
      </c>
    </row>
    <row r="30" customHeight="true" ht="30.0">
      <c r="A30" s="5" t="inlineStr">
        <is>
          <t>Австралия</t>
        </is>
      </c>
      <c r="B30" s="1" t="inlineStr">
        <is>
          <t>24</t>
        </is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3">
        <f>IFERROR(If(C30=Round(D30+Sum(F30:G30),0)," "," Стр. 24, Гр. 1 [C30]  д.б. = [Окр(D30+Сум(F30:G30),0)] {" &amp; Round(D30+Sum(F30:G30),0) &amp; "}.")," ") &amp; IFERROR(If(H30=Round(I30+Sum(K30:L30),0)," "," Стр. 24, Гр. 6 [H30]  д.б. = [Окр(I30+Сум(K30:L30),0)] {" &amp; Round(I30+Sum(K30:L30),0) &amp; "}.")," ")</f>
        <v>0.0</v>
      </c>
    </row>
    <row r="31" customHeight="true" ht="30.0">
      <c r="A31" s="5" t="inlineStr">
        <is>
          <t>Австрия</t>
        </is>
      </c>
      <c r="B31" s="1" t="inlineStr">
        <is>
          <t>25</t>
        </is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13">
        <f>IFERROR(If(C31=Round(D31+Sum(F31:G31),0)," "," Стр. 25, Гр. 1 [C31]  д.б. = [Окр(D31+Сум(F31:G31),0)] {" &amp; Round(D31+Sum(F31:G31),0) &amp; "}.")," ") &amp; IFERROR(If(H31=Round(I31+Sum(K31:L31),0)," "," Стр. 25, Гр. 6 [H31]  д.б. = [Окр(I31+Сум(K31:L31),0)] {" &amp; Round(I31+Sum(K31:L31),0) &amp; "}.")," ")</f>
        <v>0.0</v>
      </c>
    </row>
    <row r="32" customHeight="true" ht="30.0">
      <c r="A32" s="5" t="inlineStr">
        <is>
          <t>Багамы</t>
        </is>
      </c>
      <c r="B32" s="1" t="inlineStr">
        <is>
          <t>26</t>
        </is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13">
        <f>IFERROR(If(C32=Round(D32+Sum(F32:G32),0)," "," Стр. 26, Гр. 1 [C32]  д.б. = [Окр(D32+Сум(F32:G32),0)] {" &amp; Round(D32+Sum(F32:G32),0) &amp; "}.")," ") &amp; IFERROR(If(H32=Round(I32+Sum(K32:L32),0)," "," Стр. 26, Гр. 6 [H32]  д.б. = [Окр(I32+Сум(K32:L32),0)] {" &amp; Round(I32+Sum(K32:L32),0) &amp; "}.")," ")</f>
        <v>0.0</v>
      </c>
    </row>
    <row r="33" customHeight="true" ht="30.0">
      <c r="A33" s="5" t="inlineStr">
        <is>
          <t>Бахрейн</t>
        </is>
      </c>
      <c r="B33" s="1" t="inlineStr">
        <is>
          <t>27</t>
        </is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13">
        <f>IFERROR(If(C33=Round(D33+Sum(F33:G33),0)," "," Стр. 27, Гр. 1 [C33]  д.б. = [Окр(D33+Сум(F33:G33),0)] {" &amp; Round(D33+Sum(F33:G33),0) &amp; "}.")," ") &amp; IFERROR(If(H33=Round(I33+Sum(K33:L33),0)," "," Стр. 27, Гр. 6 [H33]  д.б. = [Окр(I33+Сум(K33:L33),0)] {" &amp; Round(I33+Sum(K33:L33),0) &amp; "}.")," ")</f>
        <v>0.0</v>
      </c>
    </row>
    <row r="34" customHeight="true" ht="30.0">
      <c r="A34" s="5" t="inlineStr">
        <is>
          <t>Бангладеш</t>
        </is>
      </c>
      <c r="B34" s="1" t="inlineStr">
        <is>
          <t>28</t>
        </is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13">
        <f>IFERROR(If(C34=Round(D34+Sum(F34:G34),0)," "," Стр. 28, Гр. 1 [C34]  д.б. = [Окр(D34+Сум(F34:G34),0)] {" &amp; Round(D34+Sum(F34:G34),0) &amp; "}.")," ") &amp; IFERROR(If(H34=Round(I34+Sum(K34:L34),0)," "," Стр. 28, Гр. 6 [H34]  д.б. = [Окр(I34+Сум(K34:L34),0)] {" &amp; Round(I34+Sum(K34:L34),0) &amp; "}.")," ")</f>
        <v>0.0</v>
      </c>
    </row>
    <row r="35" customHeight="true" ht="30.0">
      <c r="A35" s="5" t="inlineStr">
        <is>
          <t>Барбадос</t>
        </is>
      </c>
      <c r="B35" s="1" t="inlineStr">
        <is>
          <t>29</t>
        </is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13">
        <f>IFERROR(If(C35=Round(D35+Sum(F35:G35),0)," "," Стр. 29, Гр. 1 [C35]  д.б. = [Окр(D35+Сум(F35:G35),0)] {" &amp; Round(D35+Sum(F35:G35),0) &amp; "}.")," ") &amp; IFERROR(If(H35=Round(I35+Sum(K35:L35),0)," "," Стр. 29, Гр. 6 [H35]  д.б. = [Окр(I35+Сум(K35:L35),0)] {" &amp; Round(I35+Sum(K35:L35),0) &amp; "}.")," ")</f>
        <v>0.0</v>
      </c>
    </row>
    <row r="36" customHeight="true" ht="30.0">
      <c r="A36" s="5" t="inlineStr">
        <is>
          <t>Бельгия</t>
        </is>
      </c>
      <c r="B36" s="1" t="inlineStr">
        <is>
          <t>30</t>
        </is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13">
        <f>IFERROR(If(C36=Round(D36+Sum(F36:G36),0)," "," Стр. 30, Гр. 1 [C36]  д.б. = [Окр(D36+Сум(F36:G36),0)] {" &amp; Round(D36+Sum(F36:G36),0) &amp; "}.")," ") &amp; IFERROR(If(H36=Round(I36+Sum(K36:L36),0)," "," Стр. 30, Гр. 6 [H36]  д.б. = [Окр(I36+Сум(K36:L36),0)] {" &amp; Round(I36+Sum(K36:L36),0) &amp; "}.")," ")</f>
        <v>0.0</v>
      </c>
    </row>
    <row r="37" customHeight="true" ht="30.0">
      <c r="A37" s="5" t="inlineStr">
        <is>
          <t>Бермуды</t>
        </is>
      </c>
      <c r="B37" s="1" t="inlineStr">
        <is>
          <t>31</t>
        </is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13">
        <f>IFERROR(If(C37=Round(D37+Sum(F37:G37),0)," "," Стр. 31, Гр. 1 [C37]  д.б. = [Окр(D37+Сум(F37:G37),0)] {" &amp; Round(D37+Sum(F37:G37),0) &amp; "}.")," ") &amp; IFERROR(If(H37=Round(I37+Sum(K37:L37),0)," "," Стр. 31, Гр. 6 [H37]  д.б. = [Окр(I37+Сум(K37:L37),0)] {" &amp; Round(I37+Sum(K37:L37),0) &amp; "}.")," ")</f>
        <v>0.0</v>
      </c>
    </row>
    <row r="38" customHeight="true" ht="30.0">
      <c r="A38" s="5" t="inlineStr">
        <is>
          <t>Бутан</t>
        </is>
      </c>
      <c r="B38" s="1" t="inlineStr">
        <is>
          <t>32</t>
        </is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13">
        <f>IFERROR(If(C38=Round(D38+Sum(F38:G38),0)," "," Стр. 32, Гр. 1 [C38]  д.б. = [Окр(D38+Сум(F38:G38),0)] {" &amp; Round(D38+Sum(F38:G38),0) &amp; "}.")," ") &amp; IFERROR(If(H38=Round(I38+Sum(K38:L38),0)," "," Стр. 32, Гр. 6 [H38]  д.б. = [Окр(I38+Сум(K38:L38),0)] {" &amp; Round(I38+Sum(K38:L38),0) &amp; "}.")," ")</f>
        <v>0.0</v>
      </c>
    </row>
    <row r="39" customHeight="true" ht="30.0">
      <c r="A39" s="5" t="inlineStr">
        <is>
          <t>Боливия, Многонациональное Государство</t>
        </is>
      </c>
      <c r="B39" s="1" t="inlineStr">
        <is>
          <t>33</t>
        </is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13">
        <f>IFERROR(If(C39=Round(D39+Sum(F39:G39),0)," "," Стр. 33, Гр. 1 [C39]  д.б. = [Окр(D39+Сум(F39:G39),0)] {" &amp; Round(D39+Sum(F39:G39),0) &amp; "}.")," ") &amp; IFERROR(If(H39=Round(I39+Sum(K39:L39),0)," "," Стр. 33, Гр. 6 [H39]  д.б. = [Окр(I39+Сум(K39:L39),0)] {" &amp; Round(I39+Sum(K39:L39),0) &amp; "}.")," ")</f>
        <v>0.0</v>
      </c>
    </row>
    <row r="40" customHeight="true" ht="30.0">
      <c r="A40" s="5" t="inlineStr">
        <is>
          <t>Босния и Герцеговина</t>
        </is>
      </c>
      <c r="B40" s="1" t="inlineStr">
        <is>
          <t>34</t>
        </is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3">
        <f>IFERROR(If(C40=Round(D40+Sum(F40:G40),0)," "," Стр. 34, Гр. 1 [C40]  д.б. = [Окр(D40+Сум(F40:G40),0)] {" &amp; Round(D40+Sum(F40:G40),0) &amp; "}.")," ") &amp; IFERROR(If(H40=Round(I40+Sum(K40:L40),0)," "," Стр. 34, Гр. 6 [H40]  д.б. = [Окр(I40+Сум(K40:L40),0)] {" &amp; Round(I40+Sum(K40:L40),0) &amp; "}.")," ")</f>
        <v>0.0</v>
      </c>
    </row>
    <row r="41" customHeight="true" ht="30.0">
      <c r="A41" s="5" t="inlineStr">
        <is>
          <t>Ботсвана</t>
        </is>
      </c>
      <c r="B41" s="1" t="inlineStr">
        <is>
          <t>35</t>
        </is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13">
        <f>IFERROR(If(C41=Round(D41+Sum(F41:G41),0)," "," Стр. 35, Гр. 1 [C41]  д.б. = [Окр(D41+Сум(F41:G41),0)] {" &amp; Round(D41+Sum(F41:G41),0) &amp; "}.")," ") &amp; IFERROR(If(H41=Round(I41+Sum(K41:L41),0)," "," Стр. 35, Гр. 6 [H41]  д.б. = [Окр(I41+Сум(K41:L41),0)] {" &amp; Round(I41+Sum(K41:L41),0) &amp; "}.")," ")</f>
        <v>0.0</v>
      </c>
    </row>
    <row r="42" customHeight="true" ht="30.0">
      <c r="A42" s="5" t="inlineStr">
        <is>
          <t>Остров Буве</t>
        </is>
      </c>
      <c r="B42" s="1" t="inlineStr">
        <is>
          <t>36</t>
        </is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13">
        <f>IFERROR(If(C42=Round(D42+Sum(F42:G42),0)," "," Стр. 36, Гр. 1 [C42]  д.б. = [Окр(D42+Сум(F42:G42),0)] {" &amp; Round(D42+Sum(F42:G42),0) &amp; "}.")," ") &amp; IFERROR(If(H42=Round(I42+Sum(K42:L42),0)," "," Стр. 36, Гр. 6 [H42]  д.б. = [Окр(I42+Сум(K42:L42),0)] {" &amp; Round(I42+Sum(K42:L42),0) &amp; "}.")," ")</f>
        <v>0.0</v>
      </c>
    </row>
    <row r="43" customHeight="true" ht="30.0">
      <c r="A43" s="5" t="inlineStr">
        <is>
          <t>Бразилия</t>
        </is>
      </c>
      <c r="B43" s="1" t="inlineStr">
        <is>
          <t>37</t>
        </is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13">
        <f>IFERROR(If(C43=Round(D43+Sum(F43:G43),0)," "," Стр. 37, Гр. 1 [C43]  д.б. = [Окр(D43+Сум(F43:G43),0)] {" &amp; Round(D43+Sum(F43:G43),0) &amp; "}.")," ") &amp; IFERROR(If(H43=Round(I43+Sum(K43:L43),0)," "," Стр. 37, Гр. 6 [H43]  д.б. = [Окр(I43+Сум(K43:L43),0)] {" &amp; Round(I43+Sum(K43:L43),0) &amp; "}.")," ")</f>
        <v>0.0</v>
      </c>
    </row>
    <row r="44" customHeight="true" ht="30.0">
      <c r="A44" s="5" t="inlineStr">
        <is>
          <t>Белиз</t>
        </is>
      </c>
      <c r="B44" s="1" t="inlineStr">
        <is>
          <t>38</t>
        </is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13">
        <f>IFERROR(If(C44=Round(D44+Sum(F44:G44),0)," "," Стр. 38, Гр. 1 [C44]  д.б. = [Окр(D44+Сум(F44:G44),0)] {" &amp; Round(D44+Sum(F44:G44),0) &amp; "}.")," ") &amp; IFERROR(If(H44=Round(I44+Sum(K44:L44),0)," "," Стр. 38, Гр. 6 [H44]  д.б. = [Окр(I44+Сум(K44:L44),0)] {" &amp; Round(I44+Sum(K44:L44),0) &amp; "}.")," ")</f>
        <v>0.0</v>
      </c>
    </row>
    <row r="45" customHeight="true" ht="30.0">
      <c r="A45" s="5" t="inlineStr">
        <is>
          <t>Британская территория в Индийском океане</t>
        </is>
      </c>
      <c r="B45" s="1" t="inlineStr">
        <is>
          <t>39</t>
        </is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13">
        <f>IFERROR(If(C45=Round(D45+Sum(F45:G45),0)," "," Стр. 39, Гр. 1 [C45]  д.б. = [Окр(D45+Сум(F45:G45),0)] {" &amp; Round(D45+Sum(F45:G45),0) &amp; "}.")," ") &amp; IFERROR(If(H45=Round(I45+Sum(K45:L45),0)," "," Стр. 39, Гр. 6 [H45]  д.б. = [Окр(I45+Сум(K45:L45),0)] {" &amp; Round(I45+Sum(K45:L45),0) &amp; "}.")," ")</f>
        <v>0.0</v>
      </c>
    </row>
    <row r="46" customHeight="true" ht="30.0">
      <c r="A46" s="5" t="inlineStr">
        <is>
          <t>Соломоновы острова</t>
        </is>
      </c>
      <c r="B46" s="1" t="inlineStr">
        <is>
          <t>40</t>
        </is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13">
        <f>IFERROR(If(C46=Round(D46+Sum(F46:G46),0)," "," Стр. 40, Гр. 1 [C46]  д.б. = [Окр(D46+Сум(F46:G46),0)] {" &amp; Round(D46+Sum(F46:G46),0) &amp; "}.")," ") &amp; IFERROR(If(H46=Round(I46+Sum(K46:L46),0)," "," Стр. 40, Гр. 6 [H46]  д.б. = [Окр(I46+Сум(K46:L46),0)] {" &amp; Round(I46+Sum(K46:L46),0) &amp; "}.")," ")</f>
        <v>0.0</v>
      </c>
    </row>
    <row r="47" customHeight="true" ht="30.0">
      <c r="A47" s="5" t="inlineStr">
        <is>
          <t>Виргинские острова (Британские)</t>
        </is>
      </c>
      <c r="B47" s="1" t="inlineStr">
        <is>
          <t>41</t>
        </is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13">
        <f>IFERROR(If(C47=Round(D47+Sum(F47:G47),0)," "," Стр. 41, Гр. 1 [C47]  д.б. = [Окр(D47+Сум(F47:G47),0)] {" &amp; Round(D47+Sum(F47:G47),0) &amp; "}.")," ") &amp; IFERROR(If(H47=Round(I47+Sum(K47:L47),0)," "," Стр. 41, Гр. 6 [H47]  д.б. = [Окр(I47+Сум(K47:L47),0)] {" &amp; Round(I47+Sum(K47:L47),0) &amp; "}.")," ")</f>
        <v>0.0</v>
      </c>
    </row>
    <row r="48" customHeight="true" ht="30.0">
      <c r="A48" s="5" t="inlineStr">
        <is>
          <t>Бруней-Даруссалам</t>
        </is>
      </c>
      <c r="B48" s="1" t="inlineStr">
        <is>
          <t>42</t>
        </is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13">
        <f>IFERROR(If(C48=Round(D48+Sum(F48:G48),0)," "," Стр. 42, Гр. 1 [C48]  д.б. = [Окр(D48+Сум(F48:G48),0)] {" &amp; Round(D48+Sum(F48:G48),0) &amp; "}.")," ") &amp; IFERROR(If(H48=Round(I48+Sum(K48:L48),0)," "," Стр. 42, Гр. 6 [H48]  д.б. = [Окр(I48+Сум(K48:L48),0)] {" &amp; Round(I48+Sum(K48:L48),0) &amp; "}.")," ")</f>
        <v>0.0</v>
      </c>
    </row>
    <row r="49" customHeight="true" ht="30.0">
      <c r="A49" s="5" t="inlineStr">
        <is>
          <t>Болгария</t>
        </is>
      </c>
      <c r="B49" s="1" t="inlineStr">
        <is>
          <t>43</t>
        </is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13">
        <f>IFERROR(If(C49=Round(D49+Sum(F49:G49),0)," "," Стр. 43, Гр. 1 [C49]  д.б. = [Окр(D49+Сум(F49:G49),0)] {" &amp; Round(D49+Sum(F49:G49),0) &amp; "}.")," ") &amp; IFERROR(If(H49=Round(I49+Sum(K49:L49),0)," "," Стр. 43, Гр. 6 [H49]  д.б. = [Окр(I49+Сум(K49:L49),0)] {" &amp; Round(I49+Sum(K49:L49),0) &amp; "}.")," ")</f>
        <v>0.0</v>
      </c>
    </row>
    <row r="50" customHeight="true" ht="30.0">
      <c r="A50" s="5" t="inlineStr">
        <is>
          <t>Мьянма</t>
        </is>
      </c>
      <c r="B50" s="1" t="inlineStr">
        <is>
          <t>44</t>
        </is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13">
        <f>IFERROR(If(C50=Round(D50+Sum(F50:G50),0)," "," Стр. 44, Гр. 1 [C50]  д.б. = [Окр(D50+Сум(F50:G50),0)] {" &amp; Round(D50+Sum(F50:G50),0) &amp; "}.")," ") &amp; IFERROR(If(H50=Round(I50+Sum(K50:L50),0)," "," Стр. 44, Гр. 6 [H50]  д.б. = [Окр(I50+Сум(K50:L50),0)] {" &amp; Round(I50+Sum(K50:L50),0) &amp; "}.")," ")</f>
        <v>0.0</v>
      </c>
    </row>
    <row r="51" customHeight="true" ht="30.0">
      <c r="A51" s="5" t="inlineStr">
        <is>
          <t>Бурунди</t>
        </is>
      </c>
      <c r="B51" s="1" t="inlineStr">
        <is>
          <t>45</t>
        </is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13">
        <f>IFERROR(If(C51=Round(D51+Sum(F51:G51),0)," "," Стр. 45, Гр. 1 [C51]  д.б. = [Окр(D51+Сум(F51:G51),0)] {" &amp; Round(D51+Sum(F51:G51),0) &amp; "}.")," ") &amp; IFERROR(If(H51=Round(I51+Sum(K51:L51),0)," "," Стр. 45, Гр. 6 [H51]  д.б. = [Окр(I51+Сум(K51:L51),0)] {" &amp; Round(I51+Sum(K51:L51),0) &amp; "}.")," ")</f>
        <v>0.0</v>
      </c>
    </row>
    <row r="52" customHeight="true" ht="30.0">
      <c r="A52" s="5" t="inlineStr">
        <is>
          <t>Камбоджа</t>
        </is>
      </c>
      <c r="B52" s="1" t="inlineStr">
        <is>
          <t>46</t>
        </is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13">
        <f>IFERROR(If(C52=Round(D52+Sum(F52:G52),0)," "," Стр. 46, Гр. 1 [C52]  д.б. = [Окр(D52+Сум(F52:G52),0)] {" &amp; Round(D52+Sum(F52:G52),0) &amp; "}.")," ") &amp; IFERROR(If(H52=Round(I52+Sum(K52:L52),0)," "," Стр. 46, Гр. 6 [H52]  д.б. = [Окр(I52+Сум(K52:L52),0)] {" &amp; Round(I52+Sum(K52:L52),0) &amp; "}.")," ")</f>
        <v>0.0</v>
      </c>
    </row>
    <row r="53" customHeight="true" ht="30.0">
      <c r="A53" s="5" t="inlineStr">
        <is>
          <t>Камерун</t>
        </is>
      </c>
      <c r="B53" s="1" t="inlineStr">
        <is>
          <t>47</t>
        </is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13">
        <f>IFERROR(If(C53=Round(D53+Sum(F53:G53),0)," "," Стр. 47, Гр. 1 [C53]  д.б. = [Окр(D53+Сум(F53:G53),0)] {" &amp; Round(D53+Sum(F53:G53),0) &amp; "}.")," ") &amp; IFERROR(If(H53=Round(I53+Sum(K53:L53),0)," "," Стр. 47, Гр. 6 [H53]  д.б. = [Окр(I53+Сум(K53:L53),0)] {" &amp; Round(I53+Sum(K53:L53),0) &amp; "}.")," ")</f>
        <v>0.0</v>
      </c>
    </row>
    <row r="54" customHeight="true" ht="30.0">
      <c r="A54" s="5" t="inlineStr">
        <is>
          <t>Канада</t>
        </is>
      </c>
      <c r="B54" s="1" t="inlineStr">
        <is>
          <t>48</t>
        </is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13">
        <f>IFERROR(If(C54=Round(D54+Sum(F54:G54),0)," "," Стр. 48, Гр. 1 [C54]  д.б. = [Окр(D54+Сум(F54:G54),0)] {" &amp; Round(D54+Sum(F54:G54),0) &amp; "}.")," ") &amp; IFERROR(If(H54=Round(I54+Sum(K54:L54),0)," "," Стр. 48, Гр. 6 [H54]  д.б. = [Окр(I54+Сум(K54:L54),0)] {" &amp; Round(I54+Sum(K54:L54),0) &amp; "}.")," ")</f>
        <v>0.0</v>
      </c>
    </row>
    <row r="55" customHeight="true" ht="30.0">
      <c r="A55" s="5" t="inlineStr">
        <is>
          <t>Кабо-Верде</t>
        </is>
      </c>
      <c r="B55" s="1" t="inlineStr">
        <is>
          <t>49</t>
        </is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13">
        <f>IFERROR(If(C55=Round(D55+Sum(F55:G55),0)," "," Стр. 49, Гр. 1 [C55]  д.б. = [Окр(D55+Сум(F55:G55),0)] {" &amp; Round(D55+Sum(F55:G55),0) &amp; "}.")," ") &amp; IFERROR(If(H55=Round(I55+Sum(K55:L55),0)," "," Стр. 49, Гр. 6 [H55]  д.б. = [Окр(I55+Сум(K55:L55),0)] {" &amp; Round(I55+Sum(K55:L55),0) &amp; "}.")," ")</f>
        <v>0.0</v>
      </c>
    </row>
    <row r="56" customHeight="true" ht="30.0">
      <c r="A56" s="5" t="inlineStr">
        <is>
          <t>Острова Кайман</t>
        </is>
      </c>
      <c r="B56" s="1" t="inlineStr">
        <is>
          <t>50</t>
        </is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13">
        <f>IFERROR(If(C56=Round(D56+Sum(F56:G56),0)," "," Стр. 50, Гр. 1 [C56]  д.б. = [Окр(D56+Сум(F56:G56),0)] {" &amp; Round(D56+Sum(F56:G56),0) &amp; "}.")," ") &amp; IFERROR(If(H56=Round(I56+Sum(K56:L56),0)," "," Стр. 50, Гр. 6 [H56]  д.б. = [Окр(I56+Сум(K56:L56),0)] {" &amp; Round(I56+Sum(K56:L56),0) &amp; "}.")," ")</f>
        <v>0.0</v>
      </c>
    </row>
    <row r="57" customHeight="true" ht="30.0">
      <c r="A57" s="5" t="inlineStr">
        <is>
          <t>Центрально-Африканская Республика</t>
        </is>
      </c>
      <c r="B57" s="1" t="inlineStr">
        <is>
          <t>51</t>
        </is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13">
        <f>IFERROR(If(C57=Round(D57+Sum(F57:G57),0)," "," Стр. 51, Гр. 1 [C57]  д.б. = [Окр(D57+Сум(F57:G57),0)] {" &amp; Round(D57+Sum(F57:G57),0) &amp; "}.")," ") &amp; IFERROR(If(H57=Round(I57+Sum(K57:L57),0)," "," Стр. 51, Гр. 6 [H57]  д.б. = [Окр(I57+Сум(K57:L57),0)] {" &amp; Round(I57+Sum(K57:L57),0) &amp; "}.")," ")</f>
        <v>0.0</v>
      </c>
    </row>
    <row r="58" customHeight="true" ht="30.0">
      <c r="A58" s="5" t="inlineStr">
        <is>
          <t>Шри-Ланка</t>
        </is>
      </c>
      <c r="B58" s="1" t="inlineStr">
        <is>
          <t>52</t>
        </is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13">
        <f>IFERROR(If(C58=Round(D58+Sum(F58:G58),0)," "," Стр. 52, Гр. 1 [C58]  д.б. = [Окр(D58+Сум(F58:G58),0)] {" &amp; Round(D58+Sum(F58:G58),0) &amp; "}.")," ") &amp; IFERROR(If(H58=Round(I58+Sum(K58:L58),0)," "," Стр. 52, Гр. 6 [H58]  д.б. = [Окр(I58+Сум(K58:L58),0)] {" &amp; Round(I58+Sum(K58:L58),0) &amp; "}.")," ")</f>
        <v>0.0</v>
      </c>
    </row>
    <row r="59" customHeight="true" ht="30.0">
      <c r="A59" s="5" t="inlineStr">
        <is>
          <t>Чад</t>
        </is>
      </c>
      <c r="B59" s="1" t="inlineStr">
        <is>
          <t>53</t>
        </is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13">
        <f>IFERROR(If(C59=Round(D59+Sum(F59:G59),0)," "," Стр. 53, Гр. 1 [C59]  д.б. = [Окр(D59+Сум(F59:G59),0)] {" &amp; Round(D59+Sum(F59:G59),0) &amp; "}.")," ") &amp; IFERROR(If(H59=Round(I59+Sum(K59:L59),0)," "," Стр. 53, Гр. 6 [H59]  д.б. = [Окр(I59+Сум(K59:L59),0)] {" &amp; Round(I59+Sum(K59:L59),0) &amp; "}.")," ")</f>
        <v>0.0</v>
      </c>
    </row>
    <row r="60" customHeight="true" ht="30.0">
      <c r="A60" s="5" t="inlineStr">
        <is>
          <t>Чили</t>
        </is>
      </c>
      <c r="B60" s="1" t="inlineStr">
        <is>
          <t>54</t>
        </is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13">
        <f>IFERROR(If(C60=Round(D60+Sum(F60:G60),0)," "," Стр. 54, Гр. 1 [C60]  д.б. = [Окр(D60+Сум(F60:G60),0)] {" &amp; Round(D60+Sum(F60:G60),0) &amp; "}.")," ") &amp; IFERROR(If(H60=Round(I60+Sum(K60:L60),0)," "," Стр. 54, Гр. 6 [H60]  д.б. = [Окр(I60+Сум(K60:L60),0)] {" &amp; Round(I60+Sum(K60:L60),0) &amp; "}.")," ")</f>
        <v>0.0</v>
      </c>
    </row>
    <row r="61" customHeight="true" ht="30.0">
      <c r="A61" s="5" t="inlineStr">
        <is>
          <t>Китай</t>
        </is>
      </c>
      <c r="B61" s="1" t="inlineStr">
        <is>
          <t>55</t>
        </is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13">
        <f>IFERROR(If(C61=Round(D61+Sum(F61:G61),0)," "," Стр. 55, Гр. 1 [C61]  д.б. = [Окр(D61+Сум(F61:G61),0)] {" &amp; Round(D61+Sum(F61:G61),0) &amp; "}.")," ") &amp; IFERROR(If(H61=Round(I61+Sum(K61:L61),0)," "," Стр. 55, Гр. 6 [H61]  д.б. = [Окр(I61+Сум(K61:L61),0)] {" &amp; Round(I61+Sum(K61:L61),0) &amp; "}.")," ")</f>
        <v>0.0</v>
      </c>
    </row>
    <row r="62" customHeight="true" ht="30.0">
      <c r="A62" s="5" t="inlineStr">
        <is>
          <t>Тайвань (Китай)</t>
        </is>
      </c>
      <c r="B62" s="1" t="inlineStr">
        <is>
          <t>56</t>
        </is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13">
        <f>IFERROR(If(C62=Round(D62+Sum(F62:G62),0)," "," Стр. 56, Гр. 1 [C62]  д.б. = [Окр(D62+Сум(F62:G62),0)] {" &amp; Round(D62+Sum(F62:G62),0) &amp; "}.")," ") &amp; IFERROR(If(H62=Round(I62+Sum(K62:L62),0)," "," Стр. 56, Гр. 6 [H62]  д.б. = [Окр(I62+Сум(K62:L62),0)] {" &amp; Round(I62+Sum(K62:L62),0) &amp; "}.")," ")</f>
        <v>0.0</v>
      </c>
    </row>
    <row r="63" customHeight="true" ht="30.0">
      <c r="A63" s="5" t="inlineStr">
        <is>
          <t>Остров Рождества</t>
        </is>
      </c>
      <c r="B63" s="1" t="inlineStr">
        <is>
          <t>57</t>
        </is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13">
        <f>IFERROR(If(C63=Round(D63+Sum(F63:G63),0)," "," Стр. 57, Гр. 1 [C63]  д.б. = [Окр(D63+Сум(F63:G63),0)] {" &amp; Round(D63+Sum(F63:G63),0) &amp; "}.")," ") &amp; IFERROR(If(H63=Round(I63+Sum(K63:L63),0)," "," Стр. 57, Гр. 6 [H63]  д.б. = [Окр(I63+Сум(K63:L63),0)] {" &amp; Round(I63+Sum(K63:L63),0) &amp; "}.")," ")</f>
        <v>0.0</v>
      </c>
    </row>
    <row r="64" customHeight="true" ht="30.0">
      <c r="A64" s="5" t="inlineStr">
        <is>
          <t>Кокосовые (Килинг) острова</t>
        </is>
      </c>
      <c r="B64" s="1" t="inlineStr">
        <is>
          <t>58</t>
        </is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13">
        <f>IFERROR(If(C64=Round(D64+Sum(F64:G64),0)," "," Стр. 58, Гр. 1 [C64]  д.б. = [Окр(D64+Сум(F64:G64),0)] {" &amp; Round(D64+Sum(F64:G64),0) &amp; "}.")," ") &amp; IFERROR(If(H64=Round(I64+Sum(K64:L64),0)," "," Стр. 58, Гр. 6 [H64]  д.б. = [Окр(I64+Сум(K64:L64),0)] {" &amp; Round(I64+Sum(K64:L64),0) &amp; "}.")," ")</f>
        <v>0.0</v>
      </c>
    </row>
    <row r="65" customHeight="true" ht="30.0">
      <c r="A65" s="5" t="inlineStr">
        <is>
          <t>Колумбия</t>
        </is>
      </c>
      <c r="B65" s="1" t="inlineStr">
        <is>
          <t>59</t>
        </is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13">
        <f>IFERROR(If(C65=Round(D65+Sum(F65:G65),0)," "," Стр. 59, Гр. 1 [C65]  д.б. = [Окр(D65+Сум(F65:G65),0)] {" &amp; Round(D65+Sum(F65:G65),0) &amp; "}.")," ") &amp; IFERROR(If(H65=Round(I65+Sum(K65:L65),0)," "," Стр. 59, Гр. 6 [H65]  д.б. = [Окр(I65+Сум(K65:L65),0)] {" &amp; Round(I65+Sum(K65:L65),0) &amp; "}.")," ")</f>
        <v>0.0</v>
      </c>
    </row>
    <row r="66" customHeight="true" ht="30.0">
      <c r="A66" s="5" t="inlineStr">
        <is>
          <t>Коморы</t>
        </is>
      </c>
      <c r="B66" s="1" t="inlineStr">
        <is>
          <t>60</t>
        </is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13">
        <f>IFERROR(If(C66=Round(D66+Sum(F66:G66),0)," "," Стр. 60, Гр. 1 [C66]  д.б. = [Окр(D66+Сум(F66:G66),0)] {" &amp; Round(D66+Sum(F66:G66),0) &amp; "}.")," ") &amp; IFERROR(If(H66=Round(I66+Sum(K66:L66),0)," "," Стр. 60, Гр. 6 [H66]  д.б. = [Окр(I66+Сум(K66:L66),0)] {" &amp; Round(I66+Sum(K66:L66),0) &amp; "}.")," ")</f>
        <v>0.0</v>
      </c>
    </row>
    <row r="67" customHeight="true" ht="30.0">
      <c r="A67" s="5" t="inlineStr">
        <is>
          <t>Майотта</t>
        </is>
      </c>
      <c r="B67" s="1" t="inlineStr">
        <is>
          <t>61</t>
        </is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13">
        <f>IFERROR(If(C67=Round(D67+Sum(F67:G67),0)," "," Стр. 61, Гр. 1 [C67]  д.б. = [Окр(D67+Сум(F67:G67),0)] {" &amp; Round(D67+Sum(F67:G67),0) &amp; "}.")," ") &amp; IFERROR(If(H67=Round(I67+Sum(K67:L67),0)," "," Стр. 61, Гр. 6 [H67]  д.б. = [Окр(I67+Сум(K67:L67),0)] {" &amp; Round(I67+Sum(K67:L67),0) &amp; "}.")," ")</f>
        <v>0.0</v>
      </c>
    </row>
    <row r="68" customHeight="true" ht="30.0">
      <c r="A68" s="5" t="inlineStr">
        <is>
          <t>Конго</t>
        </is>
      </c>
      <c r="B68" s="1" t="inlineStr">
        <is>
          <t>62</t>
        </is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13">
        <f>IFERROR(If(C68=Round(D68+Sum(F68:G68),0)," "," Стр. 62, Гр. 1 [C68]  д.б. = [Окр(D68+Сум(F68:G68),0)] {" &amp; Round(D68+Sum(F68:G68),0) &amp; "}.")," ") &amp; IFERROR(If(H68=Round(I68+Sum(K68:L68),0)," "," Стр. 62, Гр. 6 [H68]  д.б. = [Окр(I68+Сум(K68:L68),0)] {" &amp; Round(I68+Sum(K68:L68),0) &amp; "}.")," ")</f>
        <v>0.0</v>
      </c>
    </row>
    <row r="69" customHeight="true" ht="30.0">
      <c r="A69" s="5" t="inlineStr">
        <is>
          <t>Конго, Демократическая Республика</t>
        </is>
      </c>
      <c r="B69" s="1" t="inlineStr">
        <is>
          <t>63</t>
        </is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13">
        <f>IFERROR(If(C69=Round(D69+Sum(F69:G69),0)," "," Стр. 63, Гр. 1 [C69]  д.б. = [Окр(D69+Сум(F69:G69),0)] {" &amp; Round(D69+Sum(F69:G69),0) &amp; "}.")," ") &amp; IFERROR(If(H69=Round(I69+Sum(K69:L69),0)," "," Стр. 63, Гр. 6 [H69]  д.б. = [Окр(I69+Сум(K69:L69),0)] {" &amp; Round(I69+Sum(K69:L69),0) &amp; "}.")," ")</f>
        <v>0.0</v>
      </c>
    </row>
    <row r="70" customHeight="true" ht="30.0">
      <c r="A70" s="5" t="inlineStr">
        <is>
          <t>Острова Кука</t>
        </is>
      </c>
      <c r="B70" s="1" t="inlineStr">
        <is>
          <t>64</t>
        </is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13">
        <f>IFERROR(If(C70=Round(D70+Sum(F70:G70),0)," "," Стр. 64, Гр. 1 [C70]  д.б. = [Окр(D70+Сум(F70:G70),0)] {" &amp; Round(D70+Sum(F70:G70),0) &amp; "}.")," ") &amp; IFERROR(If(H70=Round(I70+Sum(K70:L70),0)," "," Стр. 64, Гр. 6 [H70]  д.б. = [Окр(I70+Сум(K70:L70),0)] {" &amp; Round(I70+Sum(K70:L70),0) &amp; "}.")," ")</f>
        <v>0.0</v>
      </c>
    </row>
    <row r="71" customHeight="true" ht="30.0">
      <c r="A71" s="5" t="inlineStr">
        <is>
          <t>Коста-Рика</t>
        </is>
      </c>
      <c r="B71" s="1" t="inlineStr">
        <is>
          <t>65</t>
        </is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13">
        <f>IFERROR(If(C71=Round(D71+Sum(F71:G71),0)," "," Стр. 65, Гр. 1 [C71]  д.б. = [Окр(D71+Сум(F71:G71),0)] {" &amp; Round(D71+Sum(F71:G71),0) &amp; "}.")," ") &amp; IFERROR(If(H71=Round(I71+Sum(K71:L71),0)," "," Стр. 65, Гр. 6 [H71]  д.б. = [Окр(I71+Сум(K71:L71),0)] {" &amp; Round(I71+Sum(K71:L71),0) &amp; "}.")," ")</f>
        <v>0.0</v>
      </c>
    </row>
    <row r="72" customHeight="true" ht="30.0">
      <c r="A72" s="5" t="inlineStr">
        <is>
          <t>Хорватия</t>
        </is>
      </c>
      <c r="B72" s="1" t="inlineStr">
        <is>
          <t>66</t>
        </is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13">
        <f>IFERROR(If(C72=Round(D72+Sum(F72:G72),0)," "," Стр. 66, Гр. 1 [C72]  д.б. = [Окр(D72+Сум(F72:G72),0)] {" &amp; Round(D72+Sum(F72:G72),0) &amp; "}.")," ") &amp; IFERROR(If(H72=Round(I72+Sum(K72:L72),0)," "," Стр. 66, Гр. 6 [H72]  д.б. = [Окр(I72+Сум(K72:L72),0)] {" &amp; Round(I72+Sum(K72:L72),0) &amp; "}.")," ")</f>
        <v>0.0</v>
      </c>
    </row>
    <row r="73" customHeight="true" ht="30.0">
      <c r="A73" s="5" t="inlineStr">
        <is>
          <t>Куба</t>
        </is>
      </c>
      <c r="B73" s="1" t="inlineStr">
        <is>
          <t>67</t>
        </is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13">
        <f>IFERROR(If(C73=Round(D73+Sum(F73:G73),0)," "," Стр. 67, Гр. 1 [C73]  д.б. = [Окр(D73+Сум(F73:G73),0)] {" &amp; Round(D73+Sum(F73:G73),0) &amp; "}.")," ") &amp; IFERROR(If(H73=Round(I73+Sum(K73:L73),0)," "," Стр. 67, Гр. 6 [H73]  д.б. = [Окр(I73+Сум(K73:L73),0)] {" &amp; Round(I73+Sum(K73:L73),0) &amp; "}.")," ")</f>
        <v>0.0</v>
      </c>
    </row>
    <row r="74" customHeight="true" ht="30.0">
      <c r="A74" s="5" t="inlineStr">
        <is>
          <t>Кипр</t>
        </is>
      </c>
      <c r="B74" s="1" t="inlineStr">
        <is>
          <t>68</t>
        </is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13">
        <f>IFERROR(If(C74=Round(D74+Sum(F74:G74),0)," "," Стр. 68, Гр. 1 [C74]  д.б. = [Окр(D74+Сум(F74:G74),0)] {" &amp; Round(D74+Sum(F74:G74),0) &amp; "}.")," ") &amp; IFERROR(If(H74=Round(I74+Sum(K74:L74),0)," "," Стр. 68, Гр. 6 [H74]  д.б. = [Окр(I74+Сум(K74:L74),0)] {" &amp; Round(I74+Sum(K74:L74),0) &amp; "}.")," ")</f>
        <v>0.0</v>
      </c>
    </row>
    <row r="75" customHeight="true" ht="30.0">
      <c r="A75" s="5" t="inlineStr">
        <is>
          <t>Чехия</t>
        </is>
      </c>
      <c r="B75" s="1" t="inlineStr">
        <is>
          <t>69</t>
        </is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13">
        <f>IFERROR(If(C75=Round(D75+Sum(F75:G75),0)," "," Стр. 69, Гр. 1 [C75]  д.б. = [Окр(D75+Сум(F75:G75),0)] {" &amp; Round(D75+Sum(F75:G75),0) &amp; "}.")," ") &amp; IFERROR(If(H75=Round(I75+Sum(K75:L75),0)," "," Стр. 69, Гр. 6 [H75]  д.б. = [Окр(I75+Сум(K75:L75),0)] {" &amp; Round(I75+Sum(K75:L75),0) &amp; "}.")," ")</f>
        <v>0.0</v>
      </c>
    </row>
    <row r="76" customHeight="true" ht="30.0">
      <c r="A76" s="5" t="inlineStr">
        <is>
          <t>Бенин</t>
        </is>
      </c>
      <c r="B76" s="1" t="inlineStr">
        <is>
          <t>70</t>
        </is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13">
        <f>IFERROR(If(C76=Round(D76+Sum(F76:G76),0)," "," Стр. 70, Гр. 1 [C76]  д.б. = [Окр(D76+Сум(F76:G76),0)] {" &amp; Round(D76+Sum(F76:G76),0) &amp; "}.")," ") &amp; IFERROR(If(H76=Round(I76+Sum(K76:L76),0)," "," Стр. 70, Гр. 6 [H76]  д.б. = [Окр(I76+Сум(K76:L76),0)] {" &amp; Round(I76+Sum(K76:L76),0) &amp; "}.")," ")</f>
        <v>0.0</v>
      </c>
    </row>
    <row r="77" customHeight="true" ht="30.0">
      <c r="A77" s="5" t="inlineStr">
        <is>
          <t>Дания</t>
        </is>
      </c>
      <c r="B77" s="1" t="inlineStr">
        <is>
          <t>71</t>
        </is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13">
        <f>IFERROR(If(C77=Round(D77+Sum(F77:G77),0)," "," Стр. 71, Гр. 1 [C77]  д.б. = [Окр(D77+Сум(F77:G77),0)] {" &amp; Round(D77+Sum(F77:G77),0) &amp; "}.")," ") &amp; IFERROR(If(H77=Round(I77+Sum(K77:L77),0)," "," Стр. 71, Гр. 6 [H77]  д.б. = [Окр(I77+Сум(K77:L77),0)] {" &amp; Round(I77+Sum(K77:L77),0) &amp; "}.")," ")</f>
        <v>0.0</v>
      </c>
    </row>
    <row r="78" customHeight="true" ht="30.0">
      <c r="A78" s="5" t="inlineStr">
        <is>
          <t>Доминика</t>
        </is>
      </c>
      <c r="B78" s="1" t="inlineStr">
        <is>
          <t>72</t>
        </is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13">
        <f>IFERROR(If(C78=Round(D78+Sum(F78:G78),0)," "," Стр. 72, Гр. 1 [C78]  д.б. = [Окр(D78+Сум(F78:G78),0)] {" &amp; Round(D78+Sum(F78:G78),0) &amp; "}.")," ") &amp; IFERROR(If(H78=Round(I78+Sum(K78:L78),0)," "," Стр. 72, Гр. 6 [H78]  д.б. = [Окр(I78+Сум(K78:L78),0)] {" &amp; Round(I78+Sum(K78:L78),0) &amp; "}.")," ")</f>
        <v>0.0</v>
      </c>
    </row>
    <row r="79" customHeight="true" ht="30.0">
      <c r="A79" s="5" t="inlineStr">
        <is>
          <t>Доминиканская Республика</t>
        </is>
      </c>
      <c r="B79" s="1" t="inlineStr">
        <is>
          <t>73</t>
        </is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13">
        <f>IFERROR(If(C79=Round(D79+Sum(F79:G79),0)," "," Стр. 73, Гр. 1 [C79]  д.б. = [Окр(D79+Сум(F79:G79),0)] {" &amp; Round(D79+Sum(F79:G79),0) &amp; "}.")," ") &amp; IFERROR(If(H79=Round(I79+Sum(K79:L79),0)," "," Стр. 73, Гр. 6 [H79]  д.б. = [Окр(I79+Сум(K79:L79),0)] {" &amp; Round(I79+Sum(K79:L79),0) &amp; "}.")," ")</f>
        <v>0.0</v>
      </c>
    </row>
    <row r="80" customHeight="true" ht="30.0">
      <c r="A80" s="5" t="inlineStr">
        <is>
          <t>Эквадор</t>
        </is>
      </c>
      <c r="B80" s="1" t="inlineStr">
        <is>
          <t>74</t>
        </is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13">
        <f>IFERROR(If(C80=Round(D80+Sum(F80:G80),0)," "," Стр. 74, Гр. 1 [C80]  д.б. = [Окр(D80+Сум(F80:G80),0)] {" &amp; Round(D80+Sum(F80:G80),0) &amp; "}.")," ") &amp; IFERROR(If(H80=Round(I80+Sum(K80:L80),0)," "," Стр. 74, Гр. 6 [H80]  д.б. = [Окр(I80+Сум(K80:L80),0)] {" &amp; Round(I80+Sum(K80:L80),0) &amp; "}.")," ")</f>
        <v>0.0</v>
      </c>
    </row>
    <row r="81" customHeight="true" ht="30.0">
      <c r="A81" s="5" t="inlineStr">
        <is>
          <t>Эль-Сальвадор</t>
        </is>
      </c>
      <c r="B81" s="1" t="inlineStr">
        <is>
          <t>75</t>
        </is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13">
        <f>IFERROR(If(C81=Round(D81+Sum(F81:G81),0)," "," Стр. 75, Гр. 1 [C81]  д.б. = [Окр(D81+Сум(F81:G81),0)] {" &amp; Round(D81+Sum(F81:G81),0) &amp; "}.")," ") &amp; IFERROR(If(H81=Round(I81+Sum(K81:L81),0)," "," Стр. 75, Гр. 6 [H81]  д.б. = [Окр(I81+Сум(K81:L81),0)] {" &amp; Round(I81+Sum(K81:L81),0) &amp; "}.")," ")</f>
        <v>0.0</v>
      </c>
    </row>
    <row r="82" customHeight="true" ht="30.0">
      <c r="A82" s="5" t="inlineStr">
        <is>
          <t>Экваториальная Гвинея</t>
        </is>
      </c>
      <c r="B82" s="1" t="inlineStr">
        <is>
          <t>76</t>
        </is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13">
        <f>IFERROR(If(C82=Round(D82+Sum(F82:G82),0)," "," Стр. 76, Гр. 1 [C82]  д.б. = [Окр(D82+Сум(F82:G82),0)] {" &amp; Round(D82+Sum(F82:G82),0) &amp; "}.")," ") &amp; IFERROR(If(H82=Round(I82+Sum(K82:L82),0)," "," Стр. 76, Гр. 6 [H82]  д.б. = [Окр(I82+Сум(K82:L82),0)] {" &amp; Round(I82+Sum(K82:L82),0) &amp; "}.")," ")</f>
        <v>0.0</v>
      </c>
    </row>
    <row r="83" customHeight="true" ht="30.0">
      <c r="A83" s="5" t="inlineStr">
        <is>
          <t>Эфиопия</t>
        </is>
      </c>
      <c r="B83" s="1" t="inlineStr">
        <is>
          <t>77</t>
        </is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3">
        <f>IFERROR(If(C83=Round(D83+Sum(F83:G83),0)," "," Стр. 77, Гр. 1 [C83]  д.б. = [Окр(D83+Сум(F83:G83),0)] {" &amp; Round(D83+Sum(F83:G83),0) &amp; "}.")," ") &amp; IFERROR(If(H83=Round(I83+Sum(K83:L83),0)," "," Стр. 77, Гр. 6 [H83]  д.б. = [Окр(I83+Сум(K83:L83),0)] {" &amp; Round(I83+Sum(K83:L83),0) &amp; "}.")," ")</f>
        <v>0.0</v>
      </c>
    </row>
    <row r="84" customHeight="true" ht="30.0">
      <c r="A84" s="5" t="inlineStr">
        <is>
          <t>Эритрея</t>
        </is>
      </c>
      <c r="B84" s="1" t="inlineStr">
        <is>
          <t>78</t>
        </is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13">
        <f>IFERROR(If(C84=Round(D84+Sum(F84:G84),0)," "," Стр. 78, Гр. 1 [C84]  д.б. = [Окр(D84+Сум(F84:G84),0)] {" &amp; Round(D84+Sum(F84:G84),0) &amp; "}.")," ") &amp; IFERROR(If(H84=Round(I84+Sum(K84:L84),0)," "," Стр. 78, Гр. 6 [H84]  д.б. = [Окр(I84+Сум(K84:L84),0)] {" &amp; Round(I84+Sum(K84:L84),0) &amp; "}.")," ")</f>
        <v>0.0</v>
      </c>
    </row>
    <row r="85" customHeight="true" ht="30.0">
      <c r="A85" s="5" t="inlineStr">
        <is>
          <t>Эстония</t>
        </is>
      </c>
      <c r="B85" s="1" t="inlineStr">
        <is>
          <t>79</t>
        </is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13">
        <f>IFERROR(If(C85=Round(D85+Sum(F85:G85),0)," "," Стр. 79, Гр. 1 [C85]  д.б. = [Окр(D85+Сум(F85:G85),0)] {" &amp; Round(D85+Sum(F85:G85),0) &amp; "}.")," ") &amp; IFERROR(If(H85=Round(I85+Sum(K85:L85),0)," "," Стр. 79, Гр. 6 [H85]  д.б. = [Окр(I85+Сум(K85:L85),0)] {" &amp; Round(I85+Sum(K85:L85),0) &amp; "}.")," ")</f>
        <v>0.0</v>
      </c>
    </row>
    <row r="86" customHeight="true" ht="30.0">
      <c r="A86" s="5" t="inlineStr">
        <is>
          <t>Фарерские острова</t>
        </is>
      </c>
      <c r="B86" s="1" t="inlineStr">
        <is>
          <t>80</t>
        </is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13">
        <f>IFERROR(If(C86=Round(D86+Sum(F86:G86),0)," "," Стр. 80, Гр. 1 [C86]  д.б. = [Окр(D86+Сум(F86:G86),0)] {" &amp; Round(D86+Sum(F86:G86),0) &amp; "}.")," ") &amp; IFERROR(If(H86=Round(I86+Sum(K86:L86),0)," "," Стр. 80, Гр. 6 [H86]  д.б. = [Окр(I86+Сум(K86:L86),0)] {" &amp; Round(I86+Sum(K86:L86),0) &amp; "}.")," ")</f>
        <v>0.0</v>
      </c>
    </row>
    <row r="87" customHeight="true" ht="30.0">
      <c r="A87" s="5" t="inlineStr">
        <is>
          <t>Фолклендские острова (Мальвинские)</t>
        </is>
      </c>
      <c r="B87" s="1" t="inlineStr">
        <is>
          <t>81</t>
        </is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13">
        <f>IFERROR(If(C87=Round(D87+Sum(F87:G87),0)," "," Стр. 81, Гр. 1 [C87]  д.б. = [Окр(D87+Сум(F87:G87),0)] {" &amp; Round(D87+Sum(F87:G87),0) &amp; "}.")," ") &amp; IFERROR(If(H87=Round(I87+Sum(K87:L87),0)," "," Стр. 81, Гр. 6 [H87]  д.б. = [Окр(I87+Сум(K87:L87),0)] {" &amp; Round(I87+Sum(K87:L87),0) &amp; "}.")," ")</f>
        <v>0.0</v>
      </c>
    </row>
    <row r="88" customHeight="true" ht="30.0">
      <c r="A88" s="5" t="inlineStr">
        <is>
          <t>Южная Джорджия и Южные Сандвичевы острова</t>
        </is>
      </c>
      <c r="B88" s="1" t="inlineStr">
        <is>
          <t>82</t>
        </is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13">
        <f>IFERROR(If(C88=Round(D88+Sum(F88:G88),0)," "," Стр. 82, Гр. 1 [C88]  д.б. = [Окр(D88+Сум(F88:G88),0)] {" &amp; Round(D88+Sum(F88:G88),0) &amp; "}.")," ") &amp; IFERROR(If(H88=Round(I88+Sum(K88:L88),0)," "," Стр. 82, Гр. 6 [H88]  д.б. = [Окр(I88+Сум(K88:L88),0)] {" &amp; Round(I88+Sum(K88:L88),0) &amp; "}.")," ")</f>
        <v>0.0</v>
      </c>
    </row>
    <row r="89" customHeight="true" ht="30.0">
      <c r="A89" s="5" t="inlineStr">
        <is>
          <t>Фиджи</t>
        </is>
      </c>
      <c r="B89" s="1" t="inlineStr">
        <is>
          <t>83</t>
        </is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13">
        <f>IFERROR(If(C89=Round(D89+Sum(F89:G89),0)," "," Стр. 83, Гр. 1 [C89]  д.б. = [Окр(D89+Сум(F89:G89),0)] {" &amp; Round(D89+Sum(F89:G89),0) &amp; "}.")," ") &amp; IFERROR(If(H89=Round(I89+Sum(K89:L89),0)," "," Стр. 83, Гр. 6 [H89]  д.б. = [Окр(I89+Сум(K89:L89),0)] {" &amp; Round(I89+Sum(K89:L89),0) &amp; "}.")," ")</f>
        <v>0.0</v>
      </c>
    </row>
    <row r="90" customHeight="true" ht="30.0">
      <c r="A90" s="5" t="inlineStr">
        <is>
          <t>Финляндия</t>
        </is>
      </c>
      <c r="B90" s="1" t="inlineStr">
        <is>
          <t>84</t>
        </is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13">
        <f>IFERROR(If(C90=Round(D90+Sum(F90:G90),0)," "," Стр. 84, Гр. 1 [C90]  д.б. = [Окр(D90+Сум(F90:G90),0)] {" &amp; Round(D90+Sum(F90:G90),0) &amp; "}.")," ") &amp; IFERROR(If(H90=Round(I90+Sum(K90:L90),0)," "," Стр. 84, Гр. 6 [H90]  д.б. = [Окр(I90+Сум(K90:L90),0)] {" &amp; Round(I90+Sum(K90:L90),0) &amp; "}.")," ")</f>
        <v>0.0</v>
      </c>
    </row>
    <row r="91" customHeight="true" ht="30.0">
      <c r="A91" s="5" t="inlineStr">
        <is>
          <t>Эландские острова</t>
        </is>
      </c>
      <c r="B91" s="1" t="inlineStr">
        <is>
          <t>85</t>
        </is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13">
        <f>IFERROR(If(C91=Round(D91+Sum(F91:G91),0)," "," Стр. 85, Гр. 1 [C91]  д.б. = [Окр(D91+Сум(F91:G91),0)] {" &amp; Round(D91+Sum(F91:G91),0) &amp; "}.")," ") &amp; IFERROR(If(H91=Round(I91+Sum(K91:L91),0)," "," Стр. 85, Гр. 6 [H91]  д.б. = [Окр(I91+Сум(K91:L91),0)] {" &amp; Round(I91+Sum(K91:L91),0) &amp; "}.")," ")</f>
        <v>0.0</v>
      </c>
    </row>
    <row r="92" customHeight="true" ht="30.0">
      <c r="A92" s="5" t="inlineStr">
        <is>
          <t>Франция</t>
        </is>
      </c>
      <c r="B92" s="1" t="inlineStr">
        <is>
          <t>86</t>
        </is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13">
        <f>IFERROR(If(C92=Round(D92+Sum(F92:G92),0)," "," Стр. 86, Гр. 1 [C92]  д.б. = [Окр(D92+Сум(F92:G92),0)] {" &amp; Round(D92+Sum(F92:G92),0) &amp; "}.")," ") &amp; IFERROR(If(H92=Round(I92+Sum(K92:L92),0)," "," Стр. 86, Гр. 6 [H92]  д.б. = [Окр(I92+Сум(K92:L92),0)] {" &amp; Round(I92+Sum(K92:L92),0) &amp; "}.")," ")</f>
        <v>0.0</v>
      </c>
    </row>
    <row r="93" customHeight="true" ht="30.0">
      <c r="A93" s="5" t="inlineStr">
        <is>
          <t>Французская Гвиана</t>
        </is>
      </c>
      <c r="B93" s="1" t="inlineStr">
        <is>
          <t>87</t>
        </is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13">
        <f>IFERROR(If(C93=Round(D93+Sum(F93:G93),0)," "," Стр. 87, Гр. 1 [C93]  д.б. = [Окр(D93+Сум(F93:G93),0)] {" &amp; Round(D93+Sum(F93:G93),0) &amp; "}.")," ") &amp; IFERROR(If(H93=Round(I93+Sum(K93:L93),0)," "," Стр. 87, Гр. 6 [H93]  д.б. = [Окр(I93+Сум(K93:L93),0)] {" &amp; Round(I93+Sum(K93:L93),0) &amp; "}.")," ")</f>
        <v>0.0</v>
      </c>
    </row>
    <row r="94" customHeight="true" ht="30.0">
      <c r="A94" s="5" t="inlineStr">
        <is>
          <t>Французская Полинезия</t>
        </is>
      </c>
      <c r="B94" s="1" t="inlineStr">
        <is>
          <t>88</t>
        </is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13">
        <f>IFERROR(If(C94=Round(D94+Sum(F94:G94),0)," "," Стр. 88, Гр. 1 [C94]  д.б. = [Окр(D94+Сум(F94:G94),0)] {" &amp; Round(D94+Sum(F94:G94),0) &amp; "}.")," ") &amp; IFERROR(If(H94=Round(I94+Sum(K94:L94),0)," "," Стр. 88, Гр. 6 [H94]  д.б. = [Окр(I94+Сум(K94:L94),0)] {" &amp; Round(I94+Sum(K94:L94),0) &amp; "}.")," ")</f>
        <v>0.0</v>
      </c>
    </row>
    <row r="95" customHeight="true" ht="30.0">
      <c r="A95" s="5" t="inlineStr">
        <is>
          <t>Французские Южные территории</t>
        </is>
      </c>
      <c r="B95" s="1" t="inlineStr">
        <is>
          <t>89</t>
        </is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13">
        <f>IFERROR(If(C95=Round(D95+Sum(F95:G95),0)," "," Стр. 89, Гр. 1 [C95]  д.б. = [Окр(D95+Сум(F95:G95),0)] {" &amp; Round(D95+Sum(F95:G95),0) &amp; "}.")," ") &amp; IFERROR(If(H95=Round(I95+Sum(K95:L95),0)," "," Стр. 89, Гр. 6 [H95]  д.б. = [Окр(I95+Сум(K95:L95),0)] {" &amp; Round(I95+Sum(K95:L95),0) &amp; "}.")," ")</f>
        <v>0.0</v>
      </c>
    </row>
    <row r="96" customHeight="true" ht="30.0">
      <c r="A96" s="5" t="inlineStr">
        <is>
          <t>Джибути</t>
        </is>
      </c>
      <c r="B96" s="1" t="inlineStr">
        <is>
          <t>90</t>
        </is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13">
        <f>IFERROR(If(C96=Round(D96+Sum(F96:G96),0)," "," Стр. 90, Гр. 1 [C96]  д.б. = [Окр(D96+Сум(F96:G96),0)] {" &amp; Round(D96+Sum(F96:G96),0) &amp; "}.")," ") &amp; IFERROR(If(H96=Round(I96+Sum(K96:L96),0)," "," Стр. 90, Гр. 6 [H96]  д.б. = [Окр(I96+Сум(K96:L96),0)] {" &amp; Round(I96+Sum(K96:L96),0) &amp; "}.")," ")</f>
        <v>0.0</v>
      </c>
    </row>
    <row r="97" customHeight="true" ht="30.0">
      <c r="A97" s="5" t="inlineStr">
        <is>
          <t>Габон</t>
        </is>
      </c>
      <c r="B97" s="1" t="inlineStr">
        <is>
          <t>91</t>
        </is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13">
        <f>IFERROR(If(C97=Round(D97+Sum(F97:G97),0)," "," Стр. 91, Гр. 1 [C97]  д.б. = [Окр(D97+Сум(F97:G97),0)] {" &amp; Round(D97+Sum(F97:G97),0) &amp; "}.")," ") &amp; IFERROR(If(H97=Round(I97+Sum(K97:L97),0)," "," Стр. 91, Гр. 6 [H97]  д.б. = [Окр(I97+Сум(K97:L97),0)] {" &amp; Round(I97+Sum(K97:L97),0) &amp; "}.")," ")</f>
        <v>0.0</v>
      </c>
    </row>
    <row r="98" customHeight="true" ht="30.0">
      <c r="A98" s="5" t="inlineStr">
        <is>
          <t>Грузия</t>
        </is>
      </c>
      <c r="B98" s="1" t="inlineStr">
        <is>
          <t>92</t>
        </is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13">
        <f>IFERROR(If(C98=Round(D98+Sum(F98:G98),0)," "," Стр. 92, Гр. 1 [C98]  д.б. = [Окр(D98+Сум(F98:G98),0)] {" &amp; Round(D98+Sum(F98:G98),0) &amp; "}.")," ") &amp; IFERROR(If(H98=Round(I98+Sum(K98:L98),0)," "," Стр. 92, Гр. 6 [H98]  д.б. = [Окр(I98+Сум(K98:L98),0)] {" &amp; Round(I98+Sum(K98:L98),0) &amp; "}.")," ")</f>
        <v>0.0</v>
      </c>
    </row>
    <row r="99" customHeight="true" ht="30.0">
      <c r="A99" s="5" t="inlineStr">
        <is>
          <t>Гамбия</t>
        </is>
      </c>
      <c r="B99" s="1" t="inlineStr">
        <is>
          <t>93</t>
        </is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13">
        <f>IFERROR(If(C99=Round(D99+Sum(F99:G99),0)," "," Стр. 93, Гр. 1 [C99]  д.б. = [Окр(D99+Сум(F99:G99),0)] {" &amp; Round(D99+Sum(F99:G99),0) &amp; "}.")," ") &amp; IFERROR(If(H99=Round(I99+Sum(K99:L99),0)," "," Стр. 93, Гр. 6 [H99]  д.б. = [Окр(I99+Сум(K99:L99),0)] {" &amp; Round(I99+Sum(K99:L99),0) &amp; "}.")," ")</f>
        <v>0.0</v>
      </c>
    </row>
    <row r="100" customHeight="true" ht="30.0">
      <c r="A100" s="5" t="inlineStr">
        <is>
          <t>Палестина, Государство</t>
        </is>
      </c>
      <c r="B100" s="1" t="inlineStr">
        <is>
          <t>94</t>
        </is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13">
        <f>IFERROR(If(C100=Round(D100+Sum(F100:G100),0)," "," Стр. 94, Гр. 1 [C100]  д.б. = [Окр(D100+Сум(F100:G100),0)] {" &amp; Round(D100+Sum(F100:G100),0) &amp; "}.")," ") &amp; IFERROR(If(H100=Round(I100+Sum(K100:L100),0)," "," Стр. 94, Гр. 6 [H100]  д.б. = [Окр(I100+Сум(K100:L100),0)] {" &amp; Round(I100+Sum(K100:L100),0) &amp; "}.")," ")</f>
        <v>0.0</v>
      </c>
    </row>
    <row r="101" customHeight="true" ht="30.0">
      <c r="A101" s="5" t="inlineStr">
        <is>
          <t>Германия</t>
        </is>
      </c>
      <c r="B101" s="1" t="inlineStr">
        <is>
          <t>95</t>
        </is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13">
        <f>IFERROR(If(C101=Round(D101+Sum(F101:G101),0)," "," Стр. 95, Гр. 1 [C101]  д.б. = [Окр(D101+Сум(F101:G101),0)] {" &amp; Round(D101+Sum(F101:G101),0) &amp; "}.")," ") &amp; IFERROR(If(H101=Round(I101+Sum(K101:L101),0)," "," Стр. 95, Гр. 6 [H101]  д.б. = [Окр(I101+Сум(K101:L101),0)] {" &amp; Round(I101+Sum(K101:L101),0) &amp; "}.")," ")</f>
        <v>0.0</v>
      </c>
    </row>
    <row r="102" customHeight="true" ht="30.0">
      <c r="A102" s="5" t="inlineStr">
        <is>
          <t>Гана</t>
        </is>
      </c>
      <c r="B102" s="1" t="inlineStr">
        <is>
          <t>96</t>
        </is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13">
        <f>IFERROR(If(C102=Round(D102+Sum(F102:G102),0)," "," Стр. 96, Гр. 1 [C102]  д.б. = [Окр(D102+Сум(F102:G102),0)] {" &amp; Round(D102+Sum(F102:G102),0) &amp; "}.")," ") &amp; IFERROR(If(H102=Round(I102+Sum(K102:L102),0)," "," Стр. 96, Гр. 6 [H102]  д.б. = [Окр(I102+Сум(K102:L102),0)] {" &amp; Round(I102+Sum(K102:L102),0) &amp; "}.")," ")</f>
        <v>0.0</v>
      </c>
    </row>
    <row r="103" customHeight="true" ht="30.0">
      <c r="A103" s="5" t="inlineStr">
        <is>
          <t>Гибралтар</t>
        </is>
      </c>
      <c r="B103" s="1" t="inlineStr">
        <is>
          <t>97</t>
        </is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13">
        <f>IFERROR(If(C103=Round(D103+Sum(F103:G103),0)," "," Стр. 97, Гр. 1 [C103]  д.б. = [Окр(D103+Сум(F103:G103),0)] {" &amp; Round(D103+Sum(F103:G103),0) &amp; "}.")," ") &amp; IFERROR(If(H103=Round(I103+Sum(K103:L103),0)," "," Стр. 97, Гр. 6 [H103]  д.б. = [Окр(I103+Сум(K103:L103),0)] {" &amp; Round(I103+Sum(K103:L103),0) &amp; "}.")," ")</f>
        <v>0.0</v>
      </c>
    </row>
    <row r="104" customHeight="true" ht="30.0">
      <c r="A104" s="5" t="inlineStr">
        <is>
          <t>Кирибати</t>
        </is>
      </c>
      <c r="B104" s="1" t="inlineStr">
        <is>
          <t>98</t>
        </is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13">
        <f>IFERROR(If(C104=Round(D104+Sum(F104:G104),0)," "," Стр. 98, Гр. 1 [C104]  д.б. = [Окр(D104+Сум(F104:G104),0)] {" &amp; Round(D104+Sum(F104:G104),0) &amp; "}.")," ") &amp; IFERROR(If(H104=Round(I104+Sum(K104:L104),0)," "," Стр. 98, Гр. 6 [H104]  д.б. = [Окр(I104+Сум(K104:L104),0)] {" &amp; Round(I104+Sum(K104:L104),0) &amp; "}.")," ")</f>
        <v>0.0</v>
      </c>
    </row>
    <row r="105" customHeight="true" ht="30.0">
      <c r="A105" s="5" t="inlineStr">
        <is>
          <t>Греция</t>
        </is>
      </c>
      <c r="B105" s="1" t="inlineStr">
        <is>
          <t>99</t>
        </is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13">
        <f>IFERROR(If(C105=Round(D105+Sum(F105:G105),0)," "," Стр. 99, Гр. 1 [C105]  д.б. = [Окр(D105+Сум(F105:G105),0)] {" &amp; Round(D105+Sum(F105:G105),0) &amp; "}.")," ") &amp; IFERROR(If(H105=Round(I105+Sum(K105:L105),0)," "," Стр. 99, Гр. 6 [H105]  д.б. = [Окр(I105+Сум(K105:L105),0)] {" &amp; Round(I105+Sum(K105:L105),0) &amp; "}.")," ")</f>
        <v>0.0</v>
      </c>
    </row>
    <row r="106" customHeight="true" ht="30.0">
      <c r="A106" s="5" t="inlineStr">
        <is>
          <t>Гренландия</t>
        </is>
      </c>
      <c r="B106" s="1" t="inlineStr">
        <is>
          <t>100</t>
        </is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13">
        <f>IFERROR(If(C106=Round(D106+Sum(F106:G106),0)," "," Стр. 100, Гр. 1 [C106]  д.б. = [Окр(D106+Сум(F106:G106),0)] {" &amp; Round(D106+Sum(F106:G106),0) &amp; "}.")," ") &amp; IFERROR(If(H106=Round(I106+Sum(K106:L106),0)," "," Стр. 100, Гр. 6 [H106]  д.б. = [Окр(I106+Сум(K106:L106),0)] {" &amp; Round(I106+Sum(K106:L106),0) &amp; "}.")," ")</f>
        <v>0.0</v>
      </c>
    </row>
    <row r="107" customHeight="true" ht="30.0">
      <c r="A107" s="5" t="inlineStr">
        <is>
          <t>Гренада</t>
        </is>
      </c>
      <c r="B107" s="1" t="inlineStr">
        <is>
          <t>101</t>
        </is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13">
        <f>IFERROR(If(C107=Round(D107+Sum(F107:G107),0)," "," Стр. 101, Гр. 1 [C107]  д.б. = [Окр(D107+Сум(F107:G107),0)] {" &amp; Round(D107+Sum(F107:G107),0) &amp; "}.")," ") &amp; IFERROR(If(H107=Round(I107+Sum(K107:L107),0)," "," Стр. 101, Гр. 6 [H107]  д.б. = [Окр(I107+Сум(K107:L107),0)] {" &amp; Round(I107+Sum(K107:L107),0) &amp; "}.")," ")</f>
        <v>0.0</v>
      </c>
    </row>
    <row r="108" customHeight="true" ht="30.0">
      <c r="A108" s="5" t="inlineStr">
        <is>
          <t>Гваделупа</t>
        </is>
      </c>
      <c r="B108" s="1" t="inlineStr">
        <is>
          <t>102</t>
        </is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13">
        <f>IFERROR(If(C108=Round(D108+Sum(F108:G108),0)," "," Стр. 102, Гр. 1 [C108]  д.б. = [Окр(D108+Сум(F108:G108),0)] {" &amp; Round(D108+Sum(F108:G108),0) &amp; "}.")," ") &amp; IFERROR(If(H108=Round(I108+Sum(K108:L108),0)," "," Стр. 102, Гр. 6 [H108]  д.б. = [Окр(I108+Сум(K108:L108),0)] {" &amp; Round(I108+Sum(K108:L108),0) &amp; "}.")," ")</f>
        <v>0.0</v>
      </c>
    </row>
    <row r="109" customHeight="true" ht="30.0">
      <c r="A109" s="5" t="inlineStr">
        <is>
          <t>Гуам</t>
        </is>
      </c>
      <c r="B109" s="1" t="inlineStr">
        <is>
          <t>103</t>
        </is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13">
        <f>IFERROR(If(C109=Round(D109+Sum(F109:G109),0)," "," Стр. 103, Гр. 1 [C109]  д.б. = [Окр(D109+Сум(F109:G109),0)] {" &amp; Round(D109+Sum(F109:G109),0) &amp; "}.")," ") &amp; IFERROR(If(H109=Round(I109+Sum(K109:L109),0)," "," Стр. 103, Гр. 6 [H109]  д.б. = [Окр(I109+Сум(K109:L109),0)] {" &amp; Round(I109+Sum(K109:L109),0) &amp; "}.")," ")</f>
        <v>0.0</v>
      </c>
    </row>
    <row r="110" customHeight="true" ht="30.0">
      <c r="A110" s="5" t="inlineStr">
        <is>
          <t>Гватемала</t>
        </is>
      </c>
      <c r="B110" s="1" t="inlineStr">
        <is>
          <t>104</t>
        </is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13">
        <f>IFERROR(If(C110=Round(D110+Sum(F110:G110),0)," "," Стр. 104, Гр. 1 [C110]  д.б. = [Окр(D110+Сум(F110:G110),0)] {" &amp; Round(D110+Sum(F110:G110),0) &amp; "}.")," ") &amp; IFERROR(If(H110=Round(I110+Sum(K110:L110),0)," "," Стр. 104, Гр. 6 [H110]  д.б. = [Окр(I110+Сум(K110:L110),0)] {" &amp; Round(I110+Sum(K110:L110),0) &amp; "}.")," ")</f>
        <v>0.0</v>
      </c>
    </row>
    <row r="111" customHeight="true" ht="30.0">
      <c r="A111" s="5" t="inlineStr">
        <is>
          <t>Гвинея</t>
        </is>
      </c>
      <c r="B111" s="1" t="inlineStr">
        <is>
          <t>105</t>
        </is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13">
        <f>IFERROR(If(C111=Round(D111+Sum(F111:G111),0)," "," Стр. 105, Гр. 1 [C111]  д.б. = [Окр(D111+Сум(F111:G111),0)] {" &amp; Round(D111+Sum(F111:G111),0) &amp; "}.")," ") &amp; IFERROR(If(H111=Round(I111+Sum(K111:L111),0)," "," Стр. 105, Гр. 6 [H111]  д.б. = [Окр(I111+Сум(K111:L111),0)] {" &amp; Round(I111+Sum(K111:L111),0) &amp; "}.")," ")</f>
        <v>0.0</v>
      </c>
    </row>
    <row r="112" customHeight="true" ht="30.0">
      <c r="A112" s="5" t="inlineStr">
        <is>
          <t>Гайана</t>
        </is>
      </c>
      <c r="B112" s="1" t="inlineStr">
        <is>
          <t>106</t>
        </is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13">
        <f>IFERROR(If(C112=Round(D112+Sum(F112:G112),0)," "," Стр. 106, Гр. 1 [C112]  д.б. = [Окр(D112+Сум(F112:G112),0)] {" &amp; Round(D112+Sum(F112:G112),0) &amp; "}.")," ") &amp; IFERROR(If(H112=Round(I112+Sum(K112:L112),0)," "," Стр. 106, Гр. 6 [H112]  д.б. = [Окр(I112+Сум(K112:L112),0)] {" &amp; Round(I112+Sum(K112:L112),0) &amp; "}.")," ")</f>
        <v>0.0</v>
      </c>
    </row>
    <row r="113" customHeight="true" ht="30.0">
      <c r="A113" s="5" t="inlineStr">
        <is>
          <t>Гаити</t>
        </is>
      </c>
      <c r="B113" s="1" t="inlineStr">
        <is>
          <t>107</t>
        </is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13">
        <f>IFERROR(If(C113=Round(D113+Sum(F113:G113),0)," "," Стр. 107, Гр. 1 [C113]  д.б. = [Окр(D113+Сум(F113:G113),0)] {" &amp; Round(D113+Sum(F113:G113),0) &amp; "}.")," ") &amp; IFERROR(If(H113=Round(I113+Sum(K113:L113),0)," "," Стр. 107, Гр. 6 [H113]  д.б. = [Окр(I113+Сум(K113:L113),0)] {" &amp; Round(I113+Sum(K113:L113),0) &amp; "}.")," ")</f>
        <v>0.0</v>
      </c>
    </row>
    <row r="114" customHeight="true" ht="30.0">
      <c r="A114" s="5" t="inlineStr">
        <is>
          <t>Остров Херд и Острова Макдональд</t>
        </is>
      </c>
      <c r="B114" s="1" t="inlineStr">
        <is>
          <t>108</t>
        </is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13">
        <f>IFERROR(If(C114=Round(D114+Sum(F114:G114),0)," "," Стр. 108, Гр. 1 [C114]  д.б. = [Окр(D114+Сум(F114:G114),0)] {" &amp; Round(D114+Sum(F114:G114),0) &amp; "}.")," ") &amp; IFERROR(If(H114=Round(I114+Sum(K114:L114),0)," "," Стр. 108, Гр. 6 [H114]  д.б. = [Окр(I114+Сум(K114:L114),0)] {" &amp; Round(I114+Sum(K114:L114),0) &amp; "}.")," ")</f>
        <v>0.0</v>
      </c>
    </row>
    <row r="115" customHeight="true" ht="30.0">
      <c r="A115" s="5" t="inlineStr">
        <is>
          <t>Папский Престол (Государство - Город Ватикан)</t>
        </is>
      </c>
      <c r="B115" s="1" t="inlineStr">
        <is>
          <t>109</t>
        </is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13">
        <f>IFERROR(If(C115=Round(D115+Sum(F115:G115),0)," "," Стр. 109, Гр. 1 [C115]  д.б. = [Окр(D115+Сум(F115:G115),0)] {" &amp; Round(D115+Sum(F115:G115),0) &amp; "}.")," ") &amp; IFERROR(If(H115=Round(I115+Sum(K115:L115),0)," "," Стр. 109, Гр. 6 [H115]  д.б. = [Окр(I115+Сум(K115:L115),0)] {" &amp; Round(I115+Sum(K115:L115),0) &amp; "}.")," ")</f>
        <v>0.0</v>
      </c>
    </row>
    <row r="116" customHeight="true" ht="30.0">
      <c r="A116" s="5" t="inlineStr">
        <is>
          <t>Гондурас</t>
        </is>
      </c>
      <c r="B116" s="1" t="inlineStr">
        <is>
          <t>110</t>
        </is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13">
        <f>IFERROR(If(C116=Round(D116+Sum(F116:G116),0)," "," Стр. 110, Гр. 1 [C116]  д.б. = [Окр(D116+Сум(F116:G116),0)] {" &amp; Round(D116+Sum(F116:G116),0) &amp; "}.")," ") &amp; IFERROR(If(H116=Round(I116+Sum(K116:L116),0)," "," Стр. 110, Гр. 6 [H116]  д.б. = [Окр(I116+Сум(K116:L116),0)] {" &amp; Round(I116+Sum(K116:L116),0) &amp; "}.")," ")</f>
        <v>0.0</v>
      </c>
    </row>
    <row r="117" customHeight="true" ht="30.0">
      <c r="A117" s="5" t="inlineStr">
        <is>
          <t>Гонконг</t>
        </is>
      </c>
      <c r="B117" s="1" t="inlineStr">
        <is>
          <t>111</t>
        </is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13">
        <f>IFERROR(If(C117=Round(D117+Sum(F117:G117),0)," "," Стр. 111, Гр. 1 [C117]  д.б. = [Окр(D117+Сум(F117:G117),0)] {" &amp; Round(D117+Sum(F117:G117),0) &amp; "}.")," ") &amp; IFERROR(If(H117=Round(I117+Sum(K117:L117),0)," "," Стр. 111, Гр. 6 [H117]  д.б. = [Окр(I117+Сум(K117:L117),0)] {" &amp; Round(I117+Sum(K117:L117),0) &amp; "}.")," ")</f>
        <v>0.0</v>
      </c>
    </row>
    <row r="118" customHeight="true" ht="30.0">
      <c r="A118" s="5" t="inlineStr">
        <is>
          <t>Венгрия</t>
        </is>
      </c>
      <c r="B118" s="1" t="inlineStr">
        <is>
          <t>112</t>
        </is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13">
        <f>IFERROR(If(C118=Round(D118+Sum(F118:G118),0)," "," Стр. 112, Гр. 1 [C118]  д.б. = [Окр(D118+Сум(F118:G118),0)] {" &amp; Round(D118+Sum(F118:G118),0) &amp; "}.")," ") &amp; IFERROR(If(H118=Round(I118+Sum(K118:L118),0)," "," Стр. 112, Гр. 6 [H118]  д.б. = [Окр(I118+Сум(K118:L118),0)] {" &amp; Round(I118+Sum(K118:L118),0) &amp; "}.")," ")</f>
        <v>0.0</v>
      </c>
    </row>
    <row r="119" customHeight="true" ht="30.0">
      <c r="A119" s="5" t="inlineStr">
        <is>
          <t>Исландия</t>
        </is>
      </c>
      <c r="B119" s="1" t="inlineStr">
        <is>
          <t>113</t>
        </is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13">
        <f>IFERROR(If(C119=Round(D119+Sum(F119:G119),0)," "," Стр. 113, Гр. 1 [C119]  д.б. = [Окр(D119+Сум(F119:G119),0)] {" &amp; Round(D119+Sum(F119:G119),0) &amp; "}.")," ") &amp; IFERROR(If(H119=Round(I119+Sum(K119:L119),0)," "," Стр. 113, Гр. 6 [H119]  д.б. = [Окр(I119+Сум(K119:L119),0)] {" &amp; Round(I119+Sum(K119:L119),0) &amp; "}.")," ")</f>
        <v>0.0</v>
      </c>
    </row>
    <row r="120" customHeight="true" ht="30.0">
      <c r="A120" s="5" t="inlineStr">
        <is>
          <t>Индия</t>
        </is>
      </c>
      <c r="B120" s="1" t="inlineStr">
        <is>
          <t>114</t>
        </is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13">
        <f>IFERROR(If(C120=Round(D120+Sum(F120:G120),0)," "," Стр. 114, Гр. 1 [C120]  д.б. = [Окр(D120+Сум(F120:G120),0)] {" &amp; Round(D120+Sum(F120:G120),0) &amp; "}.")," ") &amp; IFERROR(If(H120=Round(I120+Sum(K120:L120),0)," "," Стр. 114, Гр. 6 [H120]  д.б. = [Окр(I120+Сум(K120:L120),0)] {" &amp; Round(I120+Sum(K120:L120),0) &amp; "}.")," ")</f>
        <v>0.0</v>
      </c>
    </row>
    <row r="121" customHeight="true" ht="30.0">
      <c r="A121" s="5" t="inlineStr">
        <is>
          <t>Индонезия</t>
        </is>
      </c>
      <c r="B121" s="1" t="inlineStr">
        <is>
          <t>115</t>
        </is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13">
        <f>IFERROR(If(C121=Round(D121+Sum(F121:G121),0)," "," Стр. 115, Гр. 1 [C121]  д.б. = [Окр(D121+Сум(F121:G121),0)] {" &amp; Round(D121+Sum(F121:G121),0) &amp; "}.")," ") &amp; IFERROR(If(H121=Round(I121+Sum(K121:L121),0)," "," Стр. 115, Гр. 6 [H121]  д.б. = [Окр(I121+Сум(K121:L121),0)] {" &amp; Round(I121+Sum(K121:L121),0) &amp; "}.")," ")</f>
        <v>0.0</v>
      </c>
    </row>
    <row r="122" customHeight="true" ht="30.0">
      <c r="A122" s="5" t="inlineStr">
        <is>
          <t>Иран (Исламская Республика)</t>
        </is>
      </c>
      <c r="B122" s="1" t="inlineStr">
        <is>
          <t>116</t>
        </is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13">
        <f>IFERROR(If(C122=Round(D122+Sum(F122:G122),0)," "," Стр. 116, Гр. 1 [C122]  д.б. = [Окр(D122+Сум(F122:G122),0)] {" &amp; Round(D122+Sum(F122:G122),0) &amp; "}.")," ") &amp; IFERROR(If(H122=Round(I122+Sum(K122:L122),0)," "," Стр. 116, Гр. 6 [H122]  д.б. = [Окр(I122+Сум(K122:L122),0)] {" &amp; Round(I122+Sum(K122:L122),0) &amp; "}.")," ")</f>
        <v>0.0</v>
      </c>
    </row>
    <row r="123" customHeight="true" ht="30.0">
      <c r="A123" s="5" t="inlineStr">
        <is>
          <t>Ирак</t>
        </is>
      </c>
      <c r="B123" s="1" t="inlineStr">
        <is>
          <t>117</t>
        </is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13">
        <f>IFERROR(If(C123=Round(D123+Sum(F123:G123),0)," "," Стр. 117, Гр. 1 [C123]  д.б. = [Окр(D123+Сум(F123:G123),0)] {" &amp; Round(D123+Sum(F123:G123),0) &amp; "}.")," ") &amp; IFERROR(If(H123=Round(I123+Sum(K123:L123),0)," "," Стр. 117, Гр. 6 [H123]  д.б. = [Окр(I123+Сум(K123:L123),0)] {" &amp; Round(I123+Sum(K123:L123),0) &amp; "}.")," ")</f>
        <v>0.0</v>
      </c>
    </row>
    <row r="124" customHeight="true" ht="30.0">
      <c r="A124" s="5" t="inlineStr">
        <is>
          <t>Ирландия</t>
        </is>
      </c>
      <c r="B124" s="1" t="inlineStr">
        <is>
          <t>118</t>
        </is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13">
        <f>IFERROR(If(C124=Round(D124+Sum(F124:G124),0)," "," Стр. 118, Гр. 1 [C124]  д.б. = [Окр(D124+Сум(F124:G124),0)] {" &amp; Round(D124+Sum(F124:G124),0) &amp; "}.")," ") &amp; IFERROR(If(H124=Round(I124+Sum(K124:L124),0)," "," Стр. 118, Гр. 6 [H124]  д.б. = [Окр(I124+Сум(K124:L124),0)] {" &amp; Round(I124+Sum(K124:L124),0) &amp; "}.")," ")</f>
        <v>0.0</v>
      </c>
    </row>
    <row r="125" customHeight="true" ht="30.0">
      <c r="A125" s="5" t="inlineStr">
        <is>
          <t>Израиль</t>
        </is>
      </c>
      <c r="B125" s="1" t="inlineStr">
        <is>
          <t>119</t>
        </is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13">
        <f>IFERROR(If(C125=Round(D125+Sum(F125:G125),0)," "," Стр. 119, Гр. 1 [C125]  д.б. = [Окр(D125+Сум(F125:G125),0)] {" &amp; Round(D125+Sum(F125:G125),0) &amp; "}.")," ") &amp; IFERROR(If(H125=Round(I125+Sum(K125:L125),0)," "," Стр. 119, Гр. 6 [H125]  д.б. = [Окр(I125+Сум(K125:L125),0)] {" &amp; Round(I125+Sum(K125:L125),0) &amp; "}.")," ")</f>
        <v>0.0</v>
      </c>
    </row>
    <row r="126" customHeight="true" ht="30.0">
      <c r="A126" s="5" t="inlineStr">
        <is>
          <t>Италия</t>
        </is>
      </c>
      <c r="B126" s="1" t="inlineStr">
        <is>
          <t>120</t>
        </is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13">
        <f>IFERROR(If(C126=Round(D126+Sum(F126:G126),0)," "," Стр. 120, Гр. 1 [C126]  д.б. = [Окр(D126+Сум(F126:G126),0)] {" &amp; Round(D126+Sum(F126:G126),0) &amp; "}.")," ") &amp; IFERROR(If(H126=Round(I126+Sum(K126:L126),0)," "," Стр. 120, Гр. 6 [H126]  д.б. = [Окр(I126+Сум(K126:L126),0)] {" &amp; Round(I126+Sum(K126:L126),0) &amp; "}.")," ")</f>
        <v>0.0</v>
      </c>
    </row>
    <row r="127" customHeight="true" ht="30.0">
      <c r="A127" s="5" t="inlineStr">
        <is>
          <t>Кот д'Ивуар</t>
        </is>
      </c>
      <c r="B127" s="1" t="inlineStr">
        <is>
          <t>121</t>
        </is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13">
        <f>IFERROR(If(C127=Round(D127+Sum(F127:G127),0)," "," Стр. 121, Гр. 1 [C127]  д.б. = [Окр(D127+Сум(F127:G127),0)] {" &amp; Round(D127+Sum(F127:G127),0) &amp; "}.")," ") &amp; IFERROR(If(H127=Round(I127+Sum(K127:L127),0)," "," Стр. 121, Гр. 6 [H127]  д.б. = [Окр(I127+Сум(K127:L127),0)] {" &amp; Round(I127+Sum(K127:L127),0) &amp; "}.")," ")</f>
        <v>0.0</v>
      </c>
    </row>
    <row r="128" customHeight="true" ht="30.0">
      <c r="A128" s="5" t="inlineStr">
        <is>
          <t>Ямайка</t>
        </is>
      </c>
      <c r="B128" s="1" t="inlineStr">
        <is>
          <t>122</t>
        </is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13">
        <f>IFERROR(If(C128=Round(D128+Sum(F128:G128),0)," "," Стр. 122, Гр. 1 [C128]  д.б. = [Окр(D128+Сум(F128:G128),0)] {" &amp; Round(D128+Sum(F128:G128),0) &amp; "}.")," ") &amp; IFERROR(If(H128=Round(I128+Sum(K128:L128),0)," "," Стр. 122, Гр. 6 [H128]  д.б. = [Окр(I128+Сум(K128:L128),0)] {" &amp; Round(I128+Sum(K128:L128),0) &amp; "}.")," ")</f>
        <v>0.0</v>
      </c>
    </row>
    <row r="129" customHeight="true" ht="30.0">
      <c r="A129" s="5" t="inlineStr">
        <is>
          <t>Япония</t>
        </is>
      </c>
      <c r="B129" s="1" t="inlineStr">
        <is>
          <t>123</t>
        </is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13">
        <f>IFERROR(If(C129=Round(D129+Sum(F129:G129),0)," "," Стр. 123, Гр. 1 [C129]  д.б. = [Окр(D129+Сум(F129:G129),0)] {" &amp; Round(D129+Sum(F129:G129),0) &amp; "}.")," ") &amp; IFERROR(If(H129=Round(I129+Sum(K129:L129),0)," "," Стр. 123, Гр. 6 [H129]  д.б. = [Окр(I129+Сум(K129:L129),0)] {" &amp; Round(I129+Sum(K129:L129),0) &amp; "}.")," ")</f>
        <v>0.0</v>
      </c>
    </row>
    <row r="130" customHeight="true" ht="30.0">
      <c r="A130" s="5" t="inlineStr">
        <is>
          <t>Иордания</t>
        </is>
      </c>
      <c r="B130" s="1" t="inlineStr">
        <is>
          <t>124</t>
        </is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13">
        <f>IFERROR(If(C130=Round(D130+Sum(F130:G130),0)," "," Стр. 124, Гр. 1 [C130]  д.б. = [Окр(D130+Сум(F130:G130),0)] {" &amp; Round(D130+Sum(F130:G130),0) &amp; "}.")," ") &amp; IFERROR(If(H130=Round(I130+Sum(K130:L130),0)," "," Стр. 124, Гр. 6 [H130]  д.б. = [Окр(I130+Сум(K130:L130),0)] {" &amp; Round(I130+Sum(K130:L130),0) &amp; "}.")," ")</f>
        <v>0.0</v>
      </c>
    </row>
    <row r="131" customHeight="true" ht="30.0">
      <c r="A131" s="5" t="inlineStr">
        <is>
          <t>Кения</t>
        </is>
      </c>
      <c r="B131" s="1" t="inlineStr">
        <is>
          <t>125</t>
        </is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13">
        <f>IFERROR(If(C131=Round(D131+Sum(F131:G131),0)," "," Стр. 125, Гр. 1 [C131]  д.б. = [Окр(D131+Сум(F131:G131),0)] {" &amp; Round(D131+Sum(F131:G131),0) &amp; "}.")," ") &amp; IFERROR(If(H131=Round(I131+Sum(K131:L131),0)," "," Стр. 125, Гр. 6 [H131]  д.б. = [Окр(I131+Сум(K131:L131),0)] {" &amp; Round(I131+Sum(K131:L131),0) &amp; "}.")," ")</f>
        <v>0.0</v>
      </c>
    </row>
    <row r="132" customHeight="true" ht="30.0">
      <c r="A132" s="5" t="inlineStr">
        <is>
          <t>Корея, Народно-Демократическая Республика</t>
        </is>
      </c>
      <c r="B132" s="1" t="inlineStr">
        <is>
          <t>126</t>
        </is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13">
        <f>IFERROR(If(C132=Round(D132+Sum(F132:G132),0)," "," Стр. 126, Гр. 1 [C132]  д.б. = [Окр(D132+Сум(F132:G132),0)] {" &amp; Round(D132+Sum(F132:G132),0) &amp; "}.")," ") &amp; IFERROR(If(H132=Round(I132+Sum(K132:L132),0)," "," Стр. 126, Гр. 6 [H132]  д.б. = [Окр(I132+Сум(K132:L132),0)] {" &amp; Round(I132+Sum(K132:L132),0) &amp; "}.")," ")</f>
        <v>0.0</v>
      </c>
    </row>
    <row r="133" customHeight="true" ht="30.0">
      <c r="A133" s="5" t="inlineStr">
        <is>
          <t>Корея, Республика</t>
        </is>
      </c>
      <c r="B133" s="1" t="inlineStr">
        <is>
          <t>127</t>
        </is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13">
        <f>IFERROR(If(C133=Round(D133+Sum(F133:G133),0)," "," Стр. 127, Гр. 1 [C133]  д.б. = [Окр(D133+Сум(F133:G133),0)] {" &amp; Round(D133+Sum(F133:G133),0) &amp; "}.")," ") &amp; IFERROR(If(H133=Round(I133+Sum(K133:L133),0)," "," Стр. 127, Гр. 6 [H133]  д.б. = [Окр(I133+Сум(K133:L133),0)] {" &amp; Round(I133+Sum(K133:L133),0) &amp; "}.")," ")</f>
        <v>0.0</v>
      </c>
    </row>
    <row r="134" customHeight="true" ht="30.0">
      <c r="A134" s="5" t="inlineStr">
        <is>
          <t>Кувейт</t>
        </is>
      </c>
      <c r="B134" s="1" t="inlineStr">
        <is>
          <t>128</t>
        </is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13">
        <f>IFERROR(If(C134=Round(D134+Sum(F134:G134),0)," "," Стр. 128, Гр. 1 [C134]  д.б. = [Окр(D134+Сум(F134:G134),0)] {" &amp; Round(D134+Sum(F134:G134),0) &amp; "}.")," ") &amp; IFERROR(If(H134=Round(I134+Sum(K134:L134),0)," "," Стр. 128, Гр. 6 [H134]  д.б. = [Окр(I134+Сум(K134:L134),0)] {" &amp; Round(I134+Sum(K134:L134),0) &amp; "}.")," ")</f>
        <v>0.0</v>
      </c>
    </row>
    <row r="135" customHeight="true" ht="30.0">
      <c r="A135" s="5" t="inlineStr">
        <is>
          <t>Лаосская Народно-Демократическая Республика</t>
        </is>
      </c>
      <c r="B135" s="1" t="inlineStr">
        <is>
          <t>129</t>
        </is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13">
        <f>IFERROR(If(C135=Round(D135+Sum(F135:G135),0)," "," Стр. 129, Гр. 1 [C135]  д.б. = [Окр(D135+Сум(F135:G135),0)] {" &amp; Round(D135+Sum(F135:G135),0) &amp; "}.")," ") &amp; IFERROR(If(H135=Round(I135+Sum(K135:L135),0)," "," Стр. 129, Гр. 6 [H135]  д.б. = [Окр(I135+Сум(K135:L135),0)] {" &amp; Round(I135+Sum(K135:L135),0) &amp; "}.")," ")</f>
        <v>0.0</v>
      </c>
    </row>
    <row r="136" customHeight="true" ht="30.0">
      <c r="A136" s="5" t="inlineStr">
        <is>
          <t>Ливан</t>
        </is>
      </c>
      <c r="B136" s="1" t="inlineStr">
        <is>
          <t>130</t>
        </is>
      </c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13">
        <f>IFERROR(If(C136=Round(D136+Sum(F136:G136),0)," "," Стр. 130, Гр. 1 [C136]  д.б. = [Окр(D136+Сум(F136:G136),0)] {" &amp; Round(D136+Sum(F136:G136),0) &amp; "}.")," ") &amp; IFERROR(If(H136=Round(I136+Sum(K136:L136),0)," "," Стр. 130, Гр. 6 [H136]  д.б. = [Окр(I136+Сум(K136:L136),0)] {" &amp; Round(I136+Sum(K136:L136),0) &amp; "}.")," ")</f>
        <v>0.0</v>
      </c>
    </row>
    <row r="137" customHeight="true" ht="30.0">
      <c r="A137" s="5" t="inlineStr">
        <is>
          <t>Лесото</t>
        </is>
      </c>
      <c r="B137" s="1" t="inlineStr">
        <is>
          <t>131</t>
        </is>
      </c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13">
        <f>IFERROR(If(C137=Round(D137+Sum(F137:G137),0)," "," Стр. 131, Гр. 1 [C137]  д.б. = [Окр(D137+Сум(F137:G137),0)] {" &amp; Round(D137+Sum(F137:G137),0) &amp; "}.")," ") &amp; IFERROR(If(H137=Round(I137+Sum(K137:L137),0)," "," Стр. 131, Гр. 6 [H137]  д.б. = [Окр(I137+Сум(K137:L137),0)] {" &amp; Round(I137+Sum(K137:L137),0) &amp; "}.")," ")</f>
        <v>0.0</v>
      </c>
    </row>
    <row r="138" customHeight="true" ht="30.0">
      <c r="A138" s="5" t="inlineStr">
        <is>
          <t>Латвия</t>
        </is>
      </c>
      <c r="B138" s="1" t="inlineStr">
        <is>
          <t>132</t>
        </is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13">
        <f>IFERROR(If(C138=Round(D138+Sum(F138:G138),0)," "," Стр. 132, Гр. 1 [C138]  д.б. = [Окр(D138+Сум(F138:G138),0)] {" &amp; Round(D138+Sum(F138:G138),0) &amp; "}.")," ") &amp; IFERROR(If(H138=Round(I138+Sum(K138:L138),0)," "," Стр. 132, Гр. 6 [H138]  д.б. = [Окр(I138+Сум(K138:L138),0)] {" &amp; Round(I138+Sum(K138:L138),0) &amp; "}.")," ")</f>
        <v>0.0</v>
      </c>
    </row>
    <row r="139" customHeight="true" ht="30.0">
      <c r="A139" s="5" t="inlineStr">
        <is>
          <t>Либерия</t>
        </is>
      </c>
      <c r="B139" s="1" t="inlineStr">
        <is>
          <t>133</t>
        </is>
      </c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13">
        <f>IFERROR(If(C139=Round(D139+Sum(F139:G139),0)," "," Стр. 133, Гр. 1 [C139]  д.б. = [Окр(D139+Сум(F139:G139),0)] {" &amp; Round(D139+Sum(F139:G139),0) &amp; "}.")," ") &amp; IFERROR(If(H139=Round(I139+Sum(K139:L139),0)," "," Стр. 133, Гр. 6 [H139]  д.б. = [Окр(I139+Сум(K139:L139),0)] {" &amp; Round(I139+Sum(K139:L139),0) &amp; "}.")," ")</f>
        <v>0.0</v>
      </c>
    </row>
    <row r="140" customHeight="true" ht="30.0">
      <c r="A140" s="5" t="inlineStr">
        <is>
          <t>Ливия</t>
        </is>
      </c>
      <c r="B140" s="1" t="inlineStr">
        <is>
          <t>134</t>
        </is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13">
        <f>IFERROR(If(C140=Round(D140+Sum(F140:G140),0)," "," Стр. 134, Гр. 1 [C140]  д.б. = [Окр(D140+Сум(F140:G140),0)] {" &amp; Round(D140+Sum(F140:G140),0) &amp; "}.")," ") &amp; IFERROR(If(H140=Round(I140+Sum(K140:L140),0)," "," Стр. 134, Гр. 6 [H140]  д.б. = [Окр(I140+Сум(K140:L140),0)] {" &amp; Round(I140+Sum(K140:L140),0) &amp; "}.")," ")</f>
        <v>0.0</v>
      </c>
    </row>
    <row r="141" customHeight="true" ht="30.0">
      <c r="A141" s="5" t="inlineStr">
        <is>
          <t>Лихтенштейн</t>
        </is>
      </c>
      <c r="B141" s="1" t="inlineStr">
        <is>
          <t>135</t>
        </is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13">
        <f>IFERROR(If(C141=Round(D141+Sum(F141:G141),0)," "," Стр. 135, Гр. 1 [C141]  д.б. = [Окр(D141+Сум(F141:G141),0)] {" &amp; Round(D141+Sum(F141:G141),0) &amp; "}.")," ") &amp; IFERROR(If(H141=Round(I141+Sum(K141:L141),0)," "," Стр. 135, Гр. 6 [H141]  д.б. = [Окр(I141+Сум(K141:L141),0)] {" &amp; Round(I141+Sum(K141:L141),0) &amp; "}.")," ")</f>
        <v>0.0</v>
      </c>
    </row>
    <row r="142" customHeight="true" ht="30.0">
      <c r="A142" s="5" t="inlineStr">
        <is>
          <t>Литва</t>
        </is>
      </c>
      <c r="B142" s="1" t="inlineStr">
        <is>
          <t>136</t>
        </is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13">
        <f>IFERROR(If(C142=Round(D142+Sum(F142:G142),0)," "," Стр. 136, Гр. 1 [C142]  д.б. = [Окр(D142+Сум(F142:G142),0)] {" &amp; Round(D142+Sum(F142:G142),0) &amp; "}.")," ") &amp; IFERROR(If(H142=Round(I142+Sum(K142:L142),0)," "," Стр. 136, Гр. 6 [H142]  д.б. = [Окр(I142+Сум(K142:L142),0)] {" &amp; Round(I142+Sum(K142:L142),0) &amp; "}.")," ")</f>
        <v>0.0</v>
      </c>
    </row>
    <row r="143" customHeight="true" ht="30.0">
      <c r="A143" s="5" t="inlineStr">
        <is>
          <t>Люксембург</t>
        </is>
      </c>
      <c r="B143" s="1" t="inlineStr">
        <is>
          <t>137</t>
        </is>
      </c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13">
        <f>IFERROR(If(C143=Round(D143+Sum(F143:G143),0)," "," Стр. 137, Гр. 1 [C143]  д.б. = [Окр(D143+Сум(F143:G143),0)] {" &amp; Round(D143+Sum(F143:G143),0) &amp; "}.")," ") &amp; IFERROR(If(H143=Round(I143+Sum(K143:L143),0)," "," Стр. 137, Гр. 6 [H143]  д.б. = [Окр(I143+Сум(K143:L143),0)] {" &amp; Round(I143+Sum(K143:L143),0) &amp; "}.")," ")</f>
        <v>0.0</v>
      </c>
    </row>
    <row r="144" customHeight="true" ht="30.0">
      <c r="A144" s="5" t="inlineStr">
        <is>
          <t>Макао</t>
        </is>
      </c>
      <c r="B144" s="1" t="inlineStr">
        <is>
          <t>138</t>
        </is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13">
        <f>IFERROR(If(C144=Round(D144+Sum(F144:G144),0)," "," Стр. 138, Гр. 1 [C144]  д.б. = [Окр(D144+Сум(F144:G144),0)] {" &amp; Round(D144+Sum(F144:G144),0) &amp; "}.")," ") &amp; IFERROR(If(H144=Round(I144+Sum(K144:L144),0)," "," Стр. 138, Гр. 6 [H144]  д.б. = [Окр(I144+Сум(K144:L144),0)] {" &amp; Round(I144+Sum(K144:L144),0) &amp; "}.")," ")</f>
        <v>0.0</v>
      </c>
    </row>
    <row r="145" customHeight="true" ht="30.0">
      <c r="A145" s="5" t="inlineStr">
        <is>
          <t>Мадагаскар</t>
        </is>
      </c>
      <c r="B145" s="1" t="inlineStr">
        <is>
          <t>139</t>
        </is>
      </c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13">
        <f>IFERROR(If(C145=Round(D145+Sum(F145:G145),0)," "," Стр. 139, Гр. 1 [C145]  д.б. = [Окр(D145+Сум(F145:G145),0)] {" &amp; Round(D145+Sum(F145:G145),0) &amp; "}.")," ") &amp; IFERROR(If(H145=Round(I145+Sum(K145:L145),0)," "," Стр. 139, Гр. 6 [H145]  д.б. = [Окр(I145+Сум(K145:L145),0)] {" &amp; Round(I145+Sum(K145:L145),0) &amp; "}.")," ")</f>
        <v>0.0</v>
      </c>
    </row>
    <row r="146" customHeight="true" ht="30.0">
      <c r="A146" s="5" t="inlineStr">
        <is>
          <t>Малави</t>
        </is>
      </c>
      <c r="B146" s="1" t="inlineStr">
        <is>
          <t>140</t>
        </is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13">
        <f>IFERROR(If(C146=Round(D146+Sum(F146:G146),0)," "," Стр. 140, Гр. 1 [C146]  д.б. = [Окр(D146+Сум(F146:G146),0)] {" &amp; Round(D146+Sum(F146:G146),0) &amp; "}.")," ") &amp; IFERROR(If(H146=Round(I146+Sum(K146:L146),0)," "," Стр. 140, Гр. 6 [H146]  д.б. = [Окр(I146+Сум(K146:L146),0)] {" &amp; Round(I146+Sum(K146:L146),0) &amp; "}.")," ")</f>
        <v>0.0</v>
      </c>
    </row>
    <row r="147" customHeight="true" ht="30.0">
      <c r="A147" s="5" t="inlineStr">
        <is>
          <t>Малайзия</t>
        </is>
      </c>
      <c r="B147" s="1" t="inlineStr">
        <is>
          <t>141</t>
        </is>
      </c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13">
        <f>IFERROR(If(C147=Round(D147+Sum(F147:G147),0)," "," Стр. 141, Гр. 1 [C147]  д.б. = [Окр(D147+Сум(F147:G147),0)] {" &amp; Round(D147+Sum(F147:G147),0) &amp; "}.")," ") &amp; IFERROR(If(H147=Round(I147+Sum(K147:L147),0)," "," Стр. 141, Гр. 6 [H147]  д.б. = [Окр(I147+Сум(K147:L147),0)] {" &amp; Round(I147+Sum(K147:L147),0) &amp; "}.")," ")</f>
        <v>0.0</v>
      </c>
    </row>
    <row r="148" customHeight="true" ht="30.0">
      <c r="A148" s="5" t="inlineStr">
        <is>
          <t>Мальдивы</t>
        </is>
      </c>
      <c r="B148" s="1" t="inlineStr">
        <is>
          <t>142</t>
        </is>
      </c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13">
        <f>IFERROR(If(C148=Round(D148+Sum(F148:G148),0)," "," Стр. 142, Гр. 1 [C148]  д.б. = [Окр(D148+Сум(F148:G148),0)] {" &amp; Round(D148+Sum(F148:G148),0) &amp; "}.")," ") &amp; IFERROR(If(H148=Round(I148+Sum(K148:L148),0)," "," Стр. 142, Гр. 6 [H148]  д.б. = [Окр(I148+Сум(K148:L148),0)] {" &amp; Round(I148+Sum(K148:L148),0) &amp; "}.")," ")</f>
        <v>0.0</v>
      </c>
    </row>
    <row r="149" customHeight="true" ht="30.0">
      <c r="A149" s="5" t="inlineStr">
        <is>
          <t>Мали</t>
        </is>
      </c>
      <c r="B149" s="1" t="inlineStr">
        <is>
          <t>143</t>
        </is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13">
        <f>IFERROR(If(C149=Round(D149+Sum(F149:G149),0)," "," Стр. 143, Гр. 1 [C149]  д.б. = [Окр(D149+Сум(F149:G149),0)] {" &amp; Round(D149+Sum(F149:G149),0) &amp; "}.")," ") &amp; IFERROR(If(H149=Round(I149+Sum(K149:L149),0)," "," Стр. 143, Гр. 6 [H149]  д.б. = [Окр(I149+Сум(K149:L149),0)] {" &amp; Round(I149+Sum(K149:L149),0) &amp; "}.")," ")</f>
        <v>0.0</v>
      </c>
    </row>
    <row r="150" customHeight="true" ht="30.0">
      <c r="A150" s="5" t="inlineStr">
        <is>
          <t>Мальта</t>
        </is>
      </c>
      <c r="B150" s="1" t="inlineStr">
        <is>
          <t>144</t>
        </is>
      </c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13">
        <f>IFERROR(If(C150=Round(D150+Sum(F150:G150),0)," "," Стр. 144, Гр. 1 [C150]  д.б. = [Окр(D150+Сум(F150:G150),0)] {" &amp; Round(D150+Sum(F150:G150),0) &amp; "}.")," ") &amp; IFERROR(If(H150=Round(I150+Sum(K150:L150),0)," "," Стр. 144, Гр. 6 [H150]  д.б. = [Окр(I150+Сум(K150:L150),0)] {" &amp; Round(I150+Sum(K150:L150),0) &amp; "}.")," ")</f>
        <v>0.0</v>
      </c>
    </row>
    <row r="151" customHeight="true" ht="30.0">
      <c r="A151" s="5" t="inlineStr">
        <is>
          <t>Мартиника</t>
        </is>
      </c>
      <c r="B151" s="1" t="inlineStr">
        <is>
          <t>145</t>
        </is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13">
        <f>IFERROR(If(C151=Round(D151+Sum(F151:G151),0)," "," Стр. 145, Гр. 1 [C151]  д.б. = [Окр(D151+Сум(F151:G151),0)] {" &amp; Round(D151+Sum(F151:G151),0) &amp; "}.")," ") &amp; IFERROR(If(H151=Round(I151+Sum(K151:L151),0)," "," Стр. 145, Гр. 6 [H151]  д.б. = [Окр(I151+Сум(K151:L151),0)] {" &amp; Round(I151+Sum(K151:L151),0) &amp; "}.")," ")</f>
        <v>0.0</v>
      </c>
    </row>
    <row r="152" customHeight="true" ht="30.0">
      <c r="A152" s="5" t="inlineStr">
        <is>
          <t>Мавритания</t>
        </is>
      </c>
      <c r="B152" s="1" t="inlineStr">
        <is>
          <t>146</t>
        </is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13">
        <f>IFERROR(If(C152=Round(D152+Sum(F152:G152),0)," "," Стр. 146, Гр. 1 [C152]  д.б. = [Окр(D152+Сум(F152:G152),0)] {" &amp; Round(D152+Sum(F152:G152),0) &amp; "}.")," ") &amp; IFERROR(If(H152=Round(I152+Sum(K152:L152),0)," "," Стр. 146, Гр. 6 [H152]  д.б. = [Окр(I152+Сум(K152:L152),0)] {" &amp; Round(I152+Sum(K152:L152),0) &amp; "}.")," ")</f>
        <v>0.0</v>
      </c>
    </row>
    <row r="153" customHeight="true" ht="30.0">
      <c r="A153" s="5" t="inlineStr">
        <is>
          <t>Маврикий</t>
        </is>
      </c>
      <c r="B153" s="1" t="inlineStr">
        <is>
          <t>147</t>
        </is>
      </c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13">
        <f>IFERROR(If(C153=Round(D153+Sum(F153:G153),0)," "," Стр. 147, Гр. 1 [C153]  д.б. = [Окр(D153+Сум(F153:G153),0)] {" &amp; Round(D153+Sum(F153:G153),0) &amp; "}.")," ") &amp; IFERROR(If(H153=Round(I153+Sum(K153:L153),0)," "," Стр. 147, Гр. 6 [H153]  д.б. = [Окр(I153+Сум(K153:L153),0)] {" &amp; Round(I153+Sum(K153:L153),0) &amp; "}.")," ")</f>
        <v>0.0</v>
      </c>
    </row>
    <row r="154" customHeight="true" ht="30.0">
      <c r="A154" s="5" t="inlineStr">
        <is>
          <t>Мексика</t>
        </is>
      </c>
      <c r="B154" s="1" t="inlineStr">
        <is>
          <t>148</t>
        </is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13">
        <f>IFERROR(If(C154=Round(D154+Sum(F154:G154),0)," "," Стр. 148, Гр. 1 [C154]  д.б. = [Окр(D154+Сум(F154:G154),0)] {" &amp; Round(D154+Sum(F154:G154),0) &amp; "}.")," ") &amp; IFERROR(If(H154=Round(I154+Sum(K154:L154),0)," "," Стр. 148, Гр. 6 [H154]  д.б. = [Окр(I154+Сум(K154:L154),0)] {" &amp; Round(I154+Sum(K154:L154),0) &amp; "}.")," ")</f>
        <v>0.0</v>
      </c>
    </row>
    <row r="155" customHeight="true" ht="30.0">
      <c r="A155" s="5" t="inlineStr">
        <is>
          <t>Монако</t>
        </is>
      </c>
      <c r="B155" s="1" t="inlineStr">
        <is>
          <t>149</t>
        </is>
      </c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13">
        <f>IFERROR(If(C155=Round(D155+Sum(F155:G155),0)," "," Стр. 149, Гр. 1 [C155]  д.б. = [Окр(D155+Сум(F155:G155),0)] {" &amp; Round(D155+Sum(F155:G155),0) &amp; "}.")," ") &amp; IFERROR(If(H155=Round(I155+Sum(K155:L155),0)," "," Стр. 149, Гр. 6 [H155]  д.б. = [Окр(I155+Сум(K155:L155),0)] {" &amp; Round(I155+Sum(K155:L155),0) &amp; "}.")," ")</f>
        <v>0.0</v>
      </c>
    </row>
    <row r="156" customHeight="true" ht="30.0">
      <c r="A156" s="5" t="inlineStr">
        <is>
          <t>Монголия</t>
        </is>
      </c>
      <c r="B156" s="1" t="inlineStr">
        <is>
          <t>150</t>
        </is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13">
        <f>IFERROR(If(C156=Round(D156+Sum(F156:G156),0)," "," Стр. 150, Гр. 1 [C156]  д.б. = [Окр(D156+Сум(F156:G156),0)] {" &amp; Round(D156+Sum(F156:G156),0) &amp; "}.")," ") &amp; IFERROR(If(H156=Round(I156+Sum(K156:L156),0)," "," Стр. 150, Гр. 6 [H156]  д.б. = [Окр(I156+Сум(K156:L156),0)] {" &amp; Round(I156+Sum(K156:L156),0) &amp; "}.")," ")</f>
        <v>0.0</v>
      </c>
    </row>
    <row r="157" customHeight="true" ht="30.0">
      <c r="A157" s="5" t="inlineStr">
        <is>
          <t>Черногория</t>
        </is>
      </c>
      <c r="B157" s="1" t="inlineStr">
        <is>
          <t>151</t>
        </is>
      </c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13">
        <f>IFERROR(If(C157=Round(D157+Sum(F157:G157),0)," "," Стр. 151, Гр. 1 [C157]  д.б. = [Окр(D157+Сум(F157:G157),0)] {" &amp; Round(D157+Sum(F157:G157),0) &amp; "}.")," ") &amp; IFERROR(If(H157=Round(I157+Sum(K157:L157),0)," "," Стр. 151, Гр. 6 [H157]  д.б. = [Окр(I157+Сум(K157:L157),0)] {" &amp; Round(I157+Sum(K157:L157),0) &amp; "}.")," ")</f>
        <v>0.0</v>
      </c>
    </row>
    <row r="158" customHeight="true" ht="30.0">
      <c r="A158" s="5" t="inlineStr">
        <is>
          <t>Монтсеррат</t>
        </is>
      </c>
      <c r="B158" s="1" t="inlineStr">
        <is>
          <t>152</t>
        </is>
      </c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13">
        <f>IFERROR(If(C158=Round(D158+Sum(F158:G158),0)," "," Стр. 152, Гр. 1 [C158]  д.б. = [Окр(D158+Сум(F158:G158),0)] {" &amp; Round(D158+Sum(F158:G158),0) &amp; "}.")," ") &amp; IFERROR(If(H158=Round(I158+Sum(K158:L158),0)," "," Стр. 152, Гр. 6 [H158]  д.б. = [Окр(I158+Сум(K158:L158),0)] {" &amp; Round(I158+Sum(K158:L158),0) &amp; "}.")," ")</f>
        <v>0.0</v>
      </c>
    </row>
    <row r="159" customHeight="true" ht="30.0">
      <c r="A159" s="5" t="inlineStr">
        <is>
          <t>Марокко</t>
        </is>
      </c>
      <c r="B159" s="1" t="inlineStr">
        <is>
          <t>153</t>
        </is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13">
        <f>IFERROR(If(C159=Round(D159+Sum(F159:G159),0)," "," Стр. 153, Гр. 1 [C159]  д.б. = [Окр(D159+Сум(F159:G159),0)] {" &amp; Round(D159+Sum(F159:G159),0) &amp; "}.")," ") &amp; IFERROR(If(H159=Round(I159+Sum(K159:L159),0)," "," Стр. 153, Гр. 6 [H159]  д.б. = [Окр(I159+Сум(K159:L159),0)] {" &amp; Round(I159+Sum(K159:L159),0) &amp; "}.")," ")</f>
        <v>0.0</v>
      </c>
    </row>
    <row r="160" customHeight="true" ht="30.0">
      <c r="A160" s="5" t="inlineStr">
        <is>
          <t>Мозамбик</t>
        </is>
      </c>
      <c r="B160" s="1" t="inlineStr">
        <is>
          <t>154</t>
        </is>
      </c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13">
        <f>IFERROR(If(C160=Round(D160+Sum(F160:G160),0)," "," Стр. 154, Гр. 1 [C160]  д.б. = [Окр(D160+Сум(F160:G160),0)] {" &amp; Round(D160+Sum(F160:G160),0) &amp; "}.")," ") &amp; IFERROR(If(H160=Round(I160+Sum(K160:L160),0)," "," Стр. 154, Гр. 6 [H160]  д.б. = [Окр(I160+Сум(K160:L160),0)] {" &amp; Round(I160+Sum(K160:L160),0) &amp; "}.")," ")</f>
        <v>0.0</v>
      </c>
    </row>
    <row r="161" customHeight="true" ht="30.0">
      <c r="A161" s="5" t="inlineStr">
        <is>
          <t>Оман</t>
        </is>
      </c>
      <c r="B161" s="1" t="inlineStr">
        <is>
          <t>155</t>
        </is>
      </c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13">
        <f>IFERROR(If(C161=Round(D161+Sum(F161:G161),0)," "," Стр. 155, Гр. 1 [C161]  д.б. = [Окр(D161+Сум(F161:G161),0)] {" &amp; Round(D161+Sum(F161:G161),0) &amp; "}.")," ") &amp; IFERROR(If(H161=Round(I161+Sum(K161:L161),0)," "," Стр. 155, Гр. 6 [H161]  д.б. = [Окр(I161+Сум(K161:L161),0)] {" &amp; Round(I161+Sum(K161:L161),0) &amp; "}.")," ")</f>
        <v>0.0</v>
      </c>
    </row>
    <row r="162" customHeight="true" ht="30.0">
      <c r="A162" s="5" t="inlineStr">
        <is>
          <t>Намибия</t>
        </is>
      </c>
      <c r="B162" s="1" t="inlineStr">
        <is>
          <t>156</t>
        </is>
      </c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13">
        <f>IFERROR(If(C162=Round(D162+Sum(F162:G162),0)," "," Стр. 156, Гр. 1 [C162]  д.б. = [Окр(D162+Сум(F162:G162),0)] {" &amp; Round(D162+Sum(F162:G162),0) &amp; "}.")," ") &amp; IFERROR(If(H162=Round(I162+Sum(K162:L162),0)," "," Стр. 156, Гр. 6 [H162]  д.б. = [Окр(I162+Сум(K162:L162),0)] {" &amp; Round(I162+Sum(K162:L162),0) &amp; "}.")," ")</f>
        <v>0.0</v>
      </c>
    </row>
    <row r="163" customHeight="true" ht="30.0">
      <c r="A163" s="5" t="inlineStr">
        <is>
          <t>Науру</t>
        </is>
      </c>
      <c r="B163" s="1" t="inlineStr">
        <is>
          <t>157</t>
        </is>
      </c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13">
        <f>IFERROR(If(C163=Round(D163+Sum(F163:G163),0)," "," Стр. 157, Гр. 1 [C163]  д.б. = [Окр(D163+Сум(F163:G163),0)] {" &amp; Round(D163+Sum(F163:G163),0) &amp; "}.")," ") &amp; IFERROR(If(H163=Round(I163+Sum(K163:L163),0)," "," Стр. 157, Гр. 6 [H163]  д.б. = [Окр(I163+Сум(K163:L163),0)] {" &amp; Round(I163+Sum(K163:L163),0) &amp; "}.")," ")</f>
        <v>0.0</v>
      </c>
    </row>
    <row r="164" customHeight="true" ht="30.0">
      <c r="A164" s="5" t="inlineStr">
        <is>
          <t>Непал</t>
        </is>
      </c>
      <c r="B164" s="1" t="inlineStr">
        <is>
          <t>158</t>
        </is>
      </c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13">
        <f>IFERROR(If(C164=Round(D164+Sum(F164:G164),0)," "," Стр. 158, Гр. 1 [C164]  д.б. = [Окр(D164+Сум(F164:G164),0)] {" &amp; Round(D164+Sum(F164:G164),0) &amp; "}.")," ") &amp; IFERROR(If(H164=Round(I164+Sum(K164:L164),0)," "," Стр. 158, Гр. 6 [H164]  д.б. = [Окр(I164+Сум(K164:L164),0)] {" &amp; Round(I164+Sum(K164:L164),0) &amp; "}.")," ")</f>
        <v>0.0</v>
      </c>
    </row>
    <row r="165" customHeight="true" ht="30.0">
      <c r="A165" s="5" t="inlineStr">
        <is>
          <t>Нидерланды</t>
        </is>
      </c>
      <c r="B165" s="1" t="inlineStr">
        <is>
          <t>159</t>
        </is>
      </c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13">
        <f>IFERROR(If(C165=Round(D165+Sum(F165:G165),0)," "," Стр. 159, Гр. 1 [C165]  д.б. = [Окр(D165+Сум(F165:G165),0)] {" &amp; Round(D165+Sum(F165:G165),0) &amp; "}.")," ") &amp; IFERROR(If(H165=Round(I165+Sum(K165:L165),0)," "," Стр. 159, Гр. 6 [H165]  д.б. = [Окр(I165+Сум(K165:L165),0)] {" &amp; Round(I165+Sum(K165:L165),0) &amp; "}.")," ")</f>
        <v>0.0</v>
      </c>
    </row>
    <row r="166" customHeight="true" ht="30.0">
      <c r="A166" s="5" t="inlineStr">
        <is>
          <t>Кюрасао</t>
        </is>
      </c>
      <c r="B166" s="1" t="inlineStr">
        <is>
          <t>160</t>
        </is>
      </c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13">
        <f>IFERROR(If(C166=Round(D166+Sum(F166:G166),0)," "," Стр. 160, Гр. 1 [C166]  д.б. = [Окр(D166+Сум(F166:G166),0)] {" &amp; Round(D166+Sum(F166:G166),0) &amp; "}.")," ") &amp; IFERROR(If(H166=Round(I166+Sum(K166:L166),0)," "," Стр. 160, Гр. 6 [H166]  д.б. = [Окр(I166+Сум(K166:L166),0)] {" &amp; Round(I166+Sum(K166:L166),0) &amp; "}.")," ")</f>
        <v>0.0</v>
      </c>
    </row>
    <row r="167" customHeight="true" ht="30.0">
      <c r="A167" s="5" t="inlineStr">
        <is>
          <t>Аруба</t>
        </is>
      </c>
      <c r="B167" s="1" t="inlineStr">
        <is>
          <t>161</t>
        </is>
      </c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13">
        <f>IFERROR(If(C167=Round(D167+Sum(F167:G167),0)," "," Стр. 161, Гр. 1 [C167]  д.б. = [Окр(D167+Сум(F167:G167),0)] {" &amp; Round(D167+Sum(F167:G167),0) &amp; "}.")," ") &amp; IFERROR(If(H167=Round(I167+Sum(K167:L167),0)," "," Стр. 161, Гр. 6 [H167]  д.б. = [Окр(I167+Сум(K167:L167),0)] {" &amp; Round(I167+Sum(K167:L167),0) &amp; "}.")," ")</f>
        <v>0.0</v>
      </c>
    </row>
    <row r="168" customHeight="true" ht="30.0">
      <c r="A168" s="5" t="inlineStr">
        <is>
          <t>Сен-Мартен (Нидерландская часть)</t>
        </is>
      </c>
      <c r="B168" s="1" t="inlineStr">
        <is>
          <t>162</t>
        </is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13">
        <f>IFERROR(If(C168=Round(D168+Sum(F168:G168),0)," "," Стр. 162, Гр. 1 [C168]  д.б. = [Окр(D168+Сум(F168:G168),0)] {" &amp; Round(D168+Sum(F168:G168),0) &amp; "}.")," ") &amp; IFERROR(If(H168=Round(I168+Sum(K168:L168),0)," "," Стр. 162, Гр. 6 [H168]  д.б. = [Окр(I168+Сум(K168:L168),0)] {" &amp; Round(I168+Sum(K168:L168),0) &amp; "}.")," ")</f>
        <v>0.0</v>
      </c>
    </row>
    <row r="169" customHeight="true" ht="30.0">
      <c r="A169" s="5" t="inlineStr">
        <is>
          <t>Бонэйр, Синт-Эстатиус и Саба</t>
        </is>
      </c>
      <c r="B169" s="1" t="inlineStr">
        <is>
          <t>163</t>
        </is>
      </c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13">
        <f>IFERROR(If(C169=Round(D169+Sum(F169:G169),0)," "," Стр. 163, Гр. 1 [C169]  д.б. = [Окр(D169+Сум(F169:G169),0)] {" &amp; Round(D169+Sum(F169:G169),0) &amp; "}.")," ") &amp; IFERROR(If(H169=Round(I169+Sum(K169:L169),0)," "," Стр. 163, Гр. 6 [H169]  д.б. = [Окр(I169+Сум(K169:L169),0)] {" &amp; Round(I169+Sum(K169:L169),0) &amp; "}.")," ")</f>
        <v>0.0</v>
      </c>
    </row>
    <row r="170" customHeight="true" ht="30.0">
      <c r="A170" s="5" t="inlineStr">
        <is>
          <t>Новая Каледония</t>
        </is>
      </c>
      <c r="B170" s="1" t="inlineStr">
        <is>
          <t>164</t>
        </is>
      </c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13">
        <f>IFERROR(If(C170=Round(D170+Sum(F170:G170),0)," "," Стр. 164, Гр. 1 [C170]  д.б. = [Окр(D170+Сум(F170:G170),0)] {" &amp; Round(D170+Sum(F170:G170),0) &amp; "}.")," ") &amp; IFERROR(If(H170=Round(I170+Sum(K170:L170),0)," "," Стр. 164, Гр. 6 [H170]  д.б. = [Окр(I170+Сум(K170:L170),0)] {" &amp; Round(I170+Sum(K170:L170),0) &amp; "}.")," ")</f>
        <v>0.0</v>
      </c>
    </row>
    <row r="171" customHeight="true" ht="30.0">
      <c r="A171" s="5" t="inlineStr">
        <is>
          <t>Вануату</t>
        </is>
      </c>
      <c r="B171" s="1" t="inlineStr">
        <is>
          <t>165</t>
        </is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13">
        <f>IFERROR(If(C171=Round(D171+Sum(F171:G171),0)," "," Стр. 165, Гр. 1 [C171]  д.б. = [Окр(D171+Сум(F171:G171),0)] {" &amp; Round(D171+Sum(F171:G171),0) &amp; "}.")," ") &amp; IFERROR(If(H171=Round(I171+Sum(K171:L171),0)," "," Стр. 165, Гр. 6 [H171]  д.б. = [Окр(I171+Сум(K171:L171),0)] {" &amp; Round(I171+Sum(K171:L171),0) &amp; "}.")," ")</f>
        <v>0.0</v>
      </c>
    </row>
    <row r="172" customHeight="true" ht="30.0">
      <c r="A172" s="5" t="inlineStr">
        <is>
          <t>Новая Зеландия</t>
        </is>
      </c>
      <c r="B172" s="1" t="inlineStr">
        <is>
          <t>166</t>
        </is>
      </c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13">
        <f>IFERROR(If(C172=Round(D172+Sum(F172:G172),0)," "," Стр. 166, Гр. 1 [C172]  д.б. = [Окр(D172+Сум(F172:G172),0)] {" &amp; Round(D172+Sum(F172:G172),0) &amp; "}.")," ") &amp; IFERROR(If(H172=Round(I172+Sum(K172:L172),0)," "," Стр. 166, Гр. 6 [H172]  д.б. = [Окр(I172+Сум(K172:L172),0)] {" &amp; Round(I172+Sum(K172:L172),0) &amp; "}.")," ")</f>
        <v>0.0</v>
      </c>
    </row>
    <row r="173" customHeight="true" ht="30.0">
      <c r="A173" s="5" t="inlineStr">
        <is>
          <t>Никарагуа</t>
        </is>
      </c>
      <c r="B173" s="1" t="inlineStr">
        <is>
          <t>167</t>
        </is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13">
        <f>IFERROR(If(C173=Round(D173+Sum(F173:G173),0)," "," Стр. 167, Гр. 1 [C173]  д.б. = [Окр(D173+Сум(F173:G173),0)] {" &amp; Round(D173+Sum(F173:G173),0) &amp; "}.")," ") &amp; IFERROR(If(H173=Round(I173+Sum(K173:L173),0)," "," Стр. 167, Гр. 6 [H173]  д.б. = [Окр(I173+Сум(K173:L173),0)] {" &amp; Round(I173+Sum(K173:L173),0) &amp; "}.")," ")</f>
        <v>0.0</v>
      </c>
    </row>
    <row r="174" customHeight="true" ht="30.0">
      <c r="A174" s="5" t="inlineStr">
        <is>
          <t>Нигер</t>
        </is>
      </c>
      <c r="B174" s="1" t="inlineStr">
        <is>
          <t>168</t>
        </is>
      </c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13">
        <f>IFERROR(If(C174=Round(D174+Sum(F174:G174),0)," "," Стр. 168, Гр. 1 [C174]  д.б. = [Окр(D174+Сум(F174:G174),0)] {" &amp; Round(D174+Sum(F174:G174),0) &amp; "}.")," ") &amp; IFERROR(If(H174=Round(I174+Sum(K174:L174),0)," "," Стр. 168, Гр. 6 [H174]  д.б. = [Окр(I174+Сум(K174:L174),0)] {" &amp; Round(I174+Sum(K174:L174),0) &amp; "}.")," ")</f>
        <v>0.0</v>
      </c>
    </row>
    <row r="175" customHeight="true" ht="30.0">
      <c r="A175" s="5" t="inlineStr">
        <is>
          <t>Нигерия</t>
        </is>
      </c>
      <c r="B175" s="1" t="inlineStr">
        <is>
          <t>169</t>
        </is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13">
        <f>IFERROR(If(C175=Round(D175+Sum(F175:G175),0)," "," Стр. 169, Гр. 1 [C175]  д.б. = [Окр(D175+Сум(F175:G175),0)] {" &amp; Round(D175+Sum(F175:G175),0) &amp; "}.")," ") &amp; IFERROR(If(H175=Round(I175+Sum(K175:L175),0)," "," Стр. 169, Гр. 6 [H175]  д.б. = [Окр(I175+Сум(K175:L175),0)] {" &amp; Round(I175+Sum(K175:L175),0) &amp; "}.")," ")</f>
        <v>0.0</v>
      </c>
    </row>
    <row r="176" customHeight="true" ht="30.0">
      <c r="A176" s="5" t="inlineStr">
        <is>
          <t>Ниуэ</t>
        </is>
      </c>
      <c r="B176" s="1" t="inlineStr">
        <is>
          <t>170</t>
        </is>
      </c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13">
        <f>IFERROR(If(C176=Round(D176+Sum(F176:G176),0)," "," Стр. 170, Гр. 1 [C176]  д.б. = [Окр(D176+Сум(F176:G176),0)] {" &amp; Round(D176+Sum(F176:G176),0) &amp; "}.")," ") &amp; IFERROR(If(H176=Round(I176+Sum(K176:L176),0)," "," Стр. 170, Гр. 6 [H176]  д.б. = [Окр(I176+Сум(K176:L176),0)] {" &amp; Round(I176+Sum(K176:L176),0) &amp; "}.")," ")</f>
        <v>0.0</v>
      </c>
    </row>
    <row r="177" customHeight="true" ht="30.0">
      <c r="A177" s="5" t="inlineStr">
        <is>
          <t>Остров Норфолк</t>
        </is>
      </c>
      <c r="B177" s="1" t="inlineStr">
        <is>
          <t>171</t>
        </is>
      </c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13">
        <f>IFERROR(If(C177=Round(D177+Sum(F177:G177),0)," "," Стр. 171, Гр. 1 [C177]  д.б. = [Окр(D177+Сум(F177:G177),0)] {" &amp; Round(D177+Sum(F177:G177),0) &amp; "}.")," ") &amp; IFERROR(If(H177=Round(I177+Sum(K177:L177),0)," "," Стр. 171, Гр. 6 [H177]  д.б. = [Окр(I177+Сум(K177:L177),0)] {" &amp; Round(I177+Sum(K177:L177),0) &amp; "}.")," ")</f>
        <v>0.0</v>
      </c>
    </row>
    <row r="178" customHeight="true" ht="30.0">
      <c r="A178" s="5" t="inlineStr">
        <is>
          <t>Норвегия</t>
        </is>
      </c>
      <c r="B178" s="1" t="inlineStr">
        <is>
          <t>172</t>
        </is>
      </c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13">
        <f>IFERROR(If(C178=Round(D178+Sum(F178:G178),0)," "," Стр. 172, Гр. 1 [C178]  д.б. = [Окр(D178+Сум(F178:G178),0)] {" &amp; Round(D178+Sum(F178:G178),0) &amp; "}.")," ") &amp; IFERROR(If(H178=Round(I178+Sum(K178:L178),0)," "," Стр. 172, Гр. 6 [H178]  д.б. = [Окр(I178+Сум(K178:L178),0)] {" &amp; Round(I178+Sum(K178:L178),0) &amp; "}.")," ")</f>
        <v>0.0</v>
      </c>
    </row>
    <row r="179" customHeight="true" ht="30.0">
      <c r="A179" s="5" t="inlineStr">
        <is>
          <t>Северные Марианские острова</t>
        </is>
      </c>
      <c r="B179" s="1" t="inlineStr">
        <is>
          <t>173</t>
        </is>
      </c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13">
        <f>IFERROR(If(C179=Round(D179+Sum(F179:G179),0)," "," Стр. 173, Гр. 1 [C179]  д.б. = [Окр(D179+Сум(F179:G179),0)] {" &amp; Round(D179+Sum(F179:G179),0) &amp; "}.")," ") &amp; IFERROR(If(H179=Round(I179+Sum(K179:L179),0)," "," Стр. 173, Гр. 6 [H179]  д.б. = [Окр(I179+Сум(K179:L179),0)] {" &amp; Round(I179+Sum(K179:L179),0) &amp; "}.")," ")</f>
        <v>0.0</v>
      </c>
    </row>
    <row r="180" customHeight="true" ht="30.0">
      <c r="A180" s="5" t="inlineStr">
        <is>
          <t>Малые Тихоокеанские отдаленные острова Соединенных Штатов</t>
        </is>
      </c>
      <c r="B180" s="1" t="inlineStr">
        <is>
          <t>174</t>
        </is>
      </c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13">
        <f>IFERROR(If(C180=Round(D180+Sum(F180:G180),0)," "," Стр. 174, Гр. 1 [C180]  д.б. = [Окр(D180+Сум(F180:G180),0)] {" &amp; Round(D180+Sum(F180:G180),0) &amp; "}.")," ") &amp; IFERROR(If(H180=Round(I180+Sum(K180:L180),0)," "," Стр. 174, Гр. 6 [H180]  д.б. = [Окр(I180+Сум(K180:L180),0)] {" &amp; Round(I180+Sum(K180:L180),0) &amp; "}.")," ")</f>
        <v>0.0</v>
      </c>
    </row>
    <row r="181" customHeight="true" ht="30.0">
      <c r="A181" s="5" t="inlineStr">
        <is>
          <t>Микронезия, Федеративные Штаты</t>
        </is>
      </c>
      <c r="B181" s="1" t="inlineStr">
        <is>
          <t>175</t>
        </is>
      </c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13">
        <f>IFERROR(If(C181=Round(D181+Sum(F181:G181),0)," "," Стр. 175, Гр. 1 [C181]  д.б. = [Окр(D181+Сум(F181:G181),0)] {" &amp; Round(D181+Sum(F181:G181),0) &amp; "}.")," ") &amp; IFERROR(If(H181=Round(I181+Sum(K181:L181),0)," "," Стр. 175, Гр. 6 [H181]  д.б. = [Окр(I181+Сум(K181:L181),0)] {" &amp; Round(I181+Sum(K181:L181),0) &amp; "}.")," ")</f>
        <v>0.0</v>
      </c>
    </row>
    <row r="182" customHeight="true" ht="30.0">
      <c r="A182" s="5" t="inlineStr">
        <is>
          <t>Маршалловы острова</t>
        </is>
      </c>
      <c r="B182" s="1" t="inlineStr">
        <is>
          <t>176</t>
        </is>
      </c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13">
        <f>IFERROR(If(C182=Round(D182+Sum(F182:G182),0)," "," Стр. 176, Гр. 1 [C182]  д.б. = [Окр(D182+Сум(F182:G182),0)] {" &amp; Round(D182+Sum(F182:G182),0) &amp; "}.")," ") &amp; IFERROR(If(H182=Round(I182+Sum(K182:L182),0)," "," Стр. 176, Гр. 6 [H182]  д.б. = [Окр(I182+Сум(K182:L182),0)] {" &amp; Round(I182+Sum(K182:L182),0) &amp; "}.")," ")</f>
        <v>0.0</v>
      </c>
    </row>
    <row r="183" customHeight="true" ht="30.0">
      <c r="A183" s="5" t="inlineStr">
        <is>
          <t>Палау</t>
        </is>
      </c>
      <c r="B183" s="1" t="inlineStr">
        <is>
          <t>177</t>
        </is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13">
        <f>IFERROR(If(C183=Round(D183+Sum(F183:G183),0)," "," Стр. 177, Гр. 1 [C183]  д.б. = [Окр(D183+Сум(F183:G183),0)] {" &amp; Round(D183+Sum(F183:G183),0) &amp; "}.")," ") &amp; IFERROR(If(H183=Round(I183+Sum(K183:L183),0)," "," Стр. 177, Гр. 6 [H183]  д.б. = [Окр(I183+Сум(K183:L183),0)] {" &amp; Round(I183+Sum(K183:L183),0) &amp; "}.")," ")</f>
        <v>0.0</v>
      </c>
    </row>
    <row r="184" customHeight="true" ht="30.0">
      <c r="A184" s="5" t="inlineStr">
        <is>
          <t>Пакистан</t>
        </is>
      </c>
      <c r="B184" s="1" t="inlineStr">
        <is>
          <t>178</t>
        </is>
      </c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13">
        <f>IFERROR(If(C184=Round(D184+Sum(F184:G184),0)," "," Стр. 178, Гр. 1 [C184]  д.б. = [Окр(D184+Сум(F184:G184),0)] {" &amp; Round(D184+Sum(F184:G184),0) &amp; "}.")," ") &amp; IFERROR(If(H184=Round(I184+Sum(K184:L184),0)," "," Стр. 178, Гр. 6 [H184]  д.б. = [Окр(I184+Сум(K184:L184),0)] {" &amp; Round(I184+Sum(K184:L184),0) &amp; "}.")," ")</f>
        <v>0.0</v>
      </c>
    </row>
    <row r="185" customHeight="true" ht="30.0">
      <c r="A185" s="5" t="inlineStr">
        <is>
          <t>Панама</t>
        </is>
      </c>
      <c r="B185" s="1" t="inlineStr">
        <is>
          <t>179</t>
        </is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13">
        <f>IFERROR(If(C185=Round(D185+Sum(F185:G185),0)," "," Стр. 179, Гр. 1 [C185]  д.б. = [Окр(D185+Сум(F185:G185),0)] {" &amp; Round(D185+Sum(F185:G185),0) &amp; "}.")," ") &amp; IFERROR(If(H185=Round(I185+Sum(K185:L185),0)," "," Стр. 179, Гр. 6 [H185]  д.б. = [Окр(I185+Сум(K185:L185),0)] {" &amp; Round(I185+Sum(K185:L185),0) &amp; "}.")," ")</f>
        <v>0.0</v>
      </c>
    </row>
    <row r="186" customHeight="true" ht="30.0">
      <c r="A186" s="5" t="inlineStr">
        <is>
          <t>Папуа-Новая Гвинея</t>
        </is>
      </c>
      <c r="B186" s="1" t="inlineStr">
        <is>
          <t>180</t>
        </is>
      </c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13">
        <f>IFERROR(If(C186=Round(D186+Sum(F186:G186),0)," "," Стр. 180, Гр. 1 [C186]  д.б. = [Окр(D186+Сум(F186:G186),0)] {" &amp; Round(D186+Sum(F186:G186),0) &amp; "}.")," ") &amp; IFERROR(If(H186=Round(I186+Sum(K186:L186),0)," "," Стр. 180, Гр. 6 [H186]  д.б. = [Окр(I186+Сум(K186:L186),0)] {" &amp; Round(I186+Sum(K186:L186),0) &amp; "}.")," ")</f>
        <v>0.0</v>
      </c>
    </row>
    <row r="187" customHeight="true" ht="30.0">
      <c r="A187" s="5" t="inlineStr">
        <is>
          <t>Парагвай</t>
        </is>
      </c>
      <c r="B187" s="1" t="inlineStr">
        <is>
          <t>181</t>
        </is>
      </c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13">
        <f>IFERROR(If(C187=Round(D187+Sum(F187:G187),0)," "," Стр. 181, Гр. 1 [C187]  д.б. = [Окр(D187+Сум(F187:G187),0)] {" &amp; Round(D187+Sum(F187:G187),0) &amp; "}.")," ") &amp; IFERROR(If(H187=Round(I187+Sum(K187:L187),0)," "," Стр. 181, Гр. 6 [H187]  д.б. = [Окр(I187+Сум(K187:L187),0)] {" &amp; Round(I187+Sum(K187:L187),0) &amp; "}.")," ")</f>
        <v>0.0</v>
      </c>
    </row>
    <row r="188" customHeight="true" ht="30.0">
      <c r="A188" s="5" t="inlineStr">
        <is>
          <t>Перу</t>
        </is>
      </c>
      <c r="B188" s="1" t="inlineStr">
        <is>
          <t>182</t>
        </is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13">
        <f>IFERROR(If(C188=Round(D188+Sum(F188:G188),0)," "," Стр. 182, Гр. 1 [C188]  д.б. = [Окр(D188+Сум(F188:G188),0)] {" &amp; Round(D188+Sum(F188:G188),0) &amp; "}.")," ") &amp; IFERROR(If(H188=Round(I188+Sum(K188:L188),0)," "," Стр. 182, Гр. 6 [H188]  д.б. = [Окр(I188+Сум(K188:L188),0)] {" &amp; Round(I188+Sum(K188:L188),0) &amp; "}.")," ")</f>
        <v>0.0</v>
      </c>
    </row>
    <row r="189" customHeight="true" ht="30.0">
      <c r="A189" s="5" t="inlineStr">
        <is>
          <t>Филиппины</t>
        </is>
      </c>
      <c r="B189" s="1" t="inlineStr">
        <is>
          <t>183</t>
        </is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13">
        <f>IFERROR(If(C189=Round(D189+Sum(F189:G189),0)," "," Стр. 183, Гр. 1 [C189]  д.б. = [Окр(D189+Сум(F189:G189),0)] {" &amp; Round(D189+Sum(F189:G189),0) &amp; "}.")," ") &amp; IFERROR(If(H189=Round(I189+Sum(K189:L189),0)," "," Стр. 183, Гр. 6 [H189]  д.б. = [Окр(I189+Сум(K189:L189),0)] {" &amp; Round(I189+Sum(K189:L189),0) &amp; "}.")," ")</f>
        <v>0.0</v>
      </c>
    </row>
    <row r="190" customHeight="true" ht="30.0">
      <c r="A190" s="5" t="inlineStr">
        <is>
          <t>Питкерн</t>
        </is>
      </c>
      <c r="B190" s="1" t="inlineStr">
        <is>
          <t>184</t>
        </is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13">
        <f>IFERROR(If(C190=Round(D190+Sum(F190:G190),0)," "," Стр. 184, Гр. 1 [C190]  д.б. = [Окр(D190+Сум(F190:G190),0)] {" &amp; Round(D190+Sum(F190:G190),0) &amp; "}.")," ") &amp; IFERROR(If(H190=Round(I190+Sum(K190:L190),0)," "," Стр. 184, Гр. 6 [H190]  д.б. = [Окр(I190+Сум(K190:L190),0)] {" &amp; Round(I190+Sum(K190:L190),0) &amp; "}.")," ")</f>
        <v>0.0</v>
      </c>
    </row>
    <row r="191" customHeight="true" ht="30.0">
      <c r="A191" s="5" t="inlineStr">
        <is>
          <t>Польша</t>
        </is>
      </c>
      <c r="B191" s="1" t="inlineStr">
        <is>
          <t>185</t>
        </is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13">
        <f>IFERROR(If(C191=Round(D191+Sum(F191:G191),0)," "," Стр. 185, Гр. 1 [C191]  д.б. = [Окр(D191+Сум(F191:G191),0)] {" &amp; Round(D191+Sum(F191:G191),0) &amp; "}.")," ") &amp; IFERROR(If(H191=Round(I191+Sum(K191:L191),0)," "," Стр. 185, Гр. 6 [H191]  д.б. = [Окр(I191+Сум(K191:L191),0)] {" &amp; Round(I191+Sum(K191:L191),0) &amp; "}.")," ")</f>
        <v>0.0</v>
      </c>
    </row>
    <row r="192" customHeight="true" ht="30.0">
      <c r="A192" s="5" t="inlineStr">
        <is>
          <t>Португалия</t>
        </is>
      </c>
      <c r="B192" s="1" t="inlineStr">
        <is>
          <t>186</t>
        </is>
      </c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13">
        <f>IFERROR(If(C192=Round(D192+Sum(F192:G192),0)," "," Стр. 186, Гр. 1 [C192]  д.б. = [Окр(D192+Сум(F192:G192),0)] {" &amp; Round(D192+Sum(F192:G192),0) &amp; "}.")," ") &amp; IFERROR(If(H192=Round(I192+Sum(K192:L192),0)," "," Стр. 186, Гр. 6 [H192]  д.б. = [Окр(I192+Сум(K192:L192),0)] {" &amp; Round(I192+Sum(K192:L192),0) &amp; "}.")," ")</f>
        <v>0.0</v>
      </c>
    </row>
    <row r="193" customHeight="true" ht="30.0">
      <c r="A193" s="5" t="inlineStr">
        <is>
          <t>Гвинея-Бисау</t>
        </is>
      </c>
      <c r="B193" s="1" t="inlineStr">
        <is>
          <t>187</t>
        </is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13">
        <f>IFERROR(If(C193=Round(D193+Sum(F193:G193),0)," "," Стр. 187, Гр. 1 [C193]  д.б. = [Окр(D193+Сум(F193:G193),0)] {" &amp; Round(D193+Sum(F193:G193),0) &amp; "}.")," ") &amp; IFERROR(If(H193=Round(I193+Sum(K193:L193),0)," "," Стр. 187, Гр. 6 [H193]  д.б. = [Окр(I193+Сум(K193:L193),0)] {" &amp; Round(I193+Sum(K193:L193),0) &amp; "}.")," ")</f>
        <v>0.0</v>
      </c>
    </row>
    <row r="194" customHeight="true" ht="30.0">
      <c r="A194" s="5" t="inlineStr">
        <is>
          <t>Тимор-Лесте</t>
        </is>
      </c>
      <c r="B194" s="1" t="inlineStr">
        <is>
          <t>188</t>
        </is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13">
        <f>IFERROR(If(C194=Round(D194+Sum(F194:G194),0)," "," Стр. 188, Гр. 1 [C194]  д.б. = [Окр(D194+Сум(F194:G194),0)] {" &amp; Round(D194+Sum(F194:G194),0) &amp; "}.")," ") &amp; IFERROR(If(H194=Round(I194+Sum(K194:L194),0)," "," Стр. 188, Гр. 6 [H194]  д.б. = [Окр(I194+Сум(K194:L194),0)] {" &amp; Round(I194+Sum(K194:L194),0) &amp; "}.")," ")</f>
        <v>0.0</v>
      </c>
    </row>
    <row r="195" customHeight="true" ht="30.0">
      <c r="A195" s="5" t="inlineStr">
        <is>
          <t>Пуэрто-Рико</t>
        </is>
      </c>
      <c r="B195" s="1" t="inlineStr">
        <is>
          <t>189</t>
        </is>
      </c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13">
        <f>IFERROR(If(C195=Round(D195+Sum(F195:G195),0)," "," Стр. 189, Гр. 1 [C195]  д.б. = [Окр(D195+Сум(F195:G195),0)] {" &amp; Round(D195+Sum(F195:G195),0) &amp; "}.")," ") &amp; IFERROR(If(H195=Round(I195+Sum(K195:L195),0)," "," Стр. 189, Гр. 6 [H195]  д.б. = [Окр(I195+Сум(K195:L195),0)] {" &amp; Round(I195+Sum(K195:L195),0) &amp; "}.")," ")</f>
        <v>0.0</v>
      </c>
    </row>
    <row r="196" customHeight="true" ht="30.0">
      <c r="A196" s="5" t="inlineStr">
        <is>
          <t>Катар</t>
        </is>
      </c>
      <c r="B196" s="1" t="inlineStr">
        <is>
          <t>190</t>
        </is>
      </c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13">
        <f>IFERROR(If(C196=Round(D196+Sum(F196:G196),0)," "," Стр. 190, Гр. 1 [C196]  д.б. = [Окр(D196+Сум(F196:G196),0)] {" &amp; Round(D196+Sum(F196:G196),0) &amp; "}.")," ") &amp; IFERROR(If(H196=Round(I196+Sum(K196:L196),0)," "," Стр. 190, Гр. 6 [H196]  д.б. = [Окр(I196+Сум(K196:L196),0)] {" &amp; Round(I196+Sum(K196:L196),0) &amp; "}.")," ")</f>
        <v>0.0</v>
      </c>
    </row>
    <row r="197" customHeight="true" ht="30.0">
      <c r="A197" s="5" t="inlineStr">
        <is>
          <t>Реюньон</t>
        </is>
      </c>
      <c r="B197" s="1" t="inlineStr">
        <is>
          <t>191</t>
        </is>
      </c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13">
        <f>IFERROR(If(C197=Round(D197+Sum(F197:G197),0)," "," Стр. 191, Гр. 1 [C197]  д.б. = [Окр(D197+Сум(F197:G197),0)] {" &amp; Round(D197+Sum(F197:G197),0) &amp; "}.")," ") &amp; IFERROR(If(H197=Round(I197+Sum(K197:L197),0)," "," Стр. 191, Гр. 6 [H197]  д.б. = [Окр(I197+Сум(K197:L197),0)] {" &amp; Round(I197+Sum(K197:L197),0) &amp; "}.")," ")</f>
        <v>0.0</v>
      </c>
    </row>
    <row r="198" customHeight="true" ht="30.0">
      <c r="A198" s="5" t="inlineStr">
        <is>
          <t>Румыния</t>
        </is>
      </c>
      <c r="B198" s="1" t="inlineStr">
        <is>
          <t>192</t>
        </is>
      </c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13">
        <f>IFERROR(If(C198=Round(D198+Sum(F198:G198),0)," "," Стр. 192, Гр. 1 [C198]  д.б. = [Окр(D198+Сум(F198:G198),0)] {" &amp; Round(D198+Sum(F198:G198),0) &amp; "}.")," ") &amp; IFERROR(If(H198=Round(I198+Sum(K198:L198),0)," "," Стр. 192, Гр. 6 [H198]  д.б. = [Окр(I198+Сум(K198:L198),0)] {" &amp; Round(I198+Sum(K198:L198),0) &amp; "}.")," ")</f>
        <v>0.0</v>
      </c>
    </row>
    <row r="199" customHeight="true" ht="30.0">
      <c r="A199" s="5" t="inlineStr">
        <is>
          <t>Руанда</t>
        </is>
      </c>
      <c r="B199" s="1" t="inlineStr">
        <is>
          <t>193</t>
        </is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13">
        <f>IFERROR(If(C199=Round(D199+Sum(F199:G199),0)," "," Стр. 193, Гр. 1 [C199]  д.б. = [Окр(D199+Сум(F199:G199),0)] {" &amp; Round(D199+Sum(F199:G199),0) &amp; "}.")," ") &amp; IFERROR(If(H199=Round(I199+Sum(K199:L199),0)," "," Стр. 193, Гр. 6 [H199]  д.б. = [Окр(I199+Сум(K199:L199),0)] {" &amp; Round(I199+Sum(K199:L199),0) &amp; "}.")," ")</f>
        <v>0.0</v>
      </c>
    </row>
    <row r="200" customHeight="true" ht="30.0">
      <c r="A200" s="5" t="inlineStr">
        <is>
          <t>Сен-Бартелеми</t>
        </is>
      </c>
      <c r="B200" s="1" t="inlineStr">
        <is>
          <t>194</t>
        </is>
      </c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13">
        <f>IFERROR(If(C200=Round(D200+Sum(F200:G200),0)," "," Стр. 194, Гр. 1 [C200]  д.б. = [Окр(D200+Сум(F200:G200),0)] {" &amp; Round(D200+Sum(F200:G200),0) &amp; "}.")," ") &amp; IFERROR(If(H200=Round(I200+Sum(K200:L200),0)," "," Стр. 194, Гр. 6 [H200]  д.б. = [Окр(I200+Сум(K200:L200),0)] {" &amp; Round(I200+Sum(K200:L200),0) &amp; "}.")," ")</f>
        <v>0.0</v>
      </c>
    </row>
    <row r="201" customHeight="true" ht="30.0">
      <c r="A201" s="5" t="inlineStr">
        <is>
          <t>Святая Елена, Остров Вознесения, Тристан-да-Кунья</t>
        </is>
      </c>
      <c r="B201" s="1" t="inlineStr">
        <is>
          <t>195</t>
        </is>
      </c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13">
        <f>IFERROR(If(C201=Round(D201+Sum(F201:G201),0)," "," Стр. 195, Гр. 1 [C201]  д.б. = [Окр(D201+Сум(F201:G201),0)] {" &amp; Round(D201+Sum(F201:G201),0) &amp; "}.")," ") &amp; IFERROR(If(H201=Round(I201+Sum(K201:L201),0)," "," Стр. 195, Гр. 6 [H201]  д.б. = [Окр(I201+Сум(K201:L201),0)] {" &amp; Round(I201+Sum(K201:L201),0) &amp; "}.")," ")</f>
        <v>0.0</v>
      </c>
    </row>
    <row r="202" customHeight="true" ht="30.0">
      <c r="A202" s="5" t="inlineStr">
        <is>
          <t>Сент-Китс и Невис</t>
        </is>
      </c>
      <c r="B202" s="1" t="inlineStr">
        <is>
          <t>196</t>
        </is>
      </c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13">
        <f>IFERROR(If(C202=Round(D202+Sum(F202:G202),0)," "," Стр. 196, Гр. 1 [C202]  д.б. = [Окр(D202+Сум(F202:G202),0)] {" &amp; Round(D202+Sum(F202:G202),0) &amp; "}.")," ") &amp; IFERROR(If(H202=Round(I202+Sum(K202:L202),0)," "," Стр. 196, Гр. 6 [H202]  д.б. = [Окр(I202+Сум(K202:L202),0)] {" &amp; Round(I202+Sum(K202:L202),0) &amp; "}.")," ")</f>
        <v>0.0</v>
      </c>
    </row>
    <row r="203" customHeight="true" ht="30.0">
      <c r="A203" s="5" t="inlineStr">
        <is>
          <t>Ангилья</t>
        </is>
      </c>
      <c r="B203" s="1" t="inlineStr">
        <is>
          <t>197</t>
        </is>
      </c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13">
        <f>IFERROR(If(C203=Round(D203+Sum(F203:G203),0)," "," Стр. 197, Гр. 1 [C203]  д.б. = [Окр(D203+Сум(F203:G203),0)] {" &amp; Round(D203+Sum(F203:G203),0) &amp; "}.")," ") &amp; IFERROR(If(H203=Round(I203+Sum(K203:L203),0)," "," Стр. 197, Гр. 6 [H203]  д.б. = [Окр(I203+Сум(K203:L203),0)] {" &amp; Round(I203+Sum(K203:L203),0) &amp; "}.")," ")</f>
        <v>0.0</v>
      </c>
    </row>
    <row r="204" customHeight="true" ht="30.0">
      <c r="A204" s="5" t="inlineStr">
        <is>
          <t>Сент-Люсия</t>
        </is>
      </c>
      <c r="B204" s="1" t="inlineStr">
        <is>
          <t>198</t>
        </is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13">
        <f>IFERROR(If(C204=Round(D204+Sum(F204:G204),0)," "," Стр. 198, Гр. 1 [C204]  д.б. = [Окр(D204+Сум(F204:G204),0)] {" &amp; Round(D204+Sum(F204:G204),0) &amp; "}.")," ") &amp; IFERROR(If(H204=Round(I204+Sum(K204:L204),0)," "," Стр. 198, Гр. 6 [H204]  д.б. = [Окр(I204+Сум(K204:L204),0)] {" &amp; Round(I204+Sum(K204:L204),0) &amp; "}.")," ")</f>
        <v>0.0</v>
      </c>
    </row>
    <row r="205" customHeight="true" ht="30.0">
      <c r="A205" s="5" t="inlineStr">
        <is>
          <t>Сен-Мартен (Французская часть)</t>
        </is>
      </c>
      <c r="B205" s="1" t="inlineStr">
        <is>
          <t>199</t>
        </is>
      </c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13">
        <f>IFERROR(If(C205=Round(D205+Sum(F205:G205),0)," "," Стр. 199, Гр. 1 [C205]  д.б. = [Окр(D205+Сум(F205:G205),0)] {" &amp; Round(D205+Sum(F205:G205),0) &amp; "}.")," ") &amp; IFERROR(If(H205=Round(I205+Sum(K205:L205),0)," "," Стр. 199, Гр. 6 [H205]  д.б. = [Окр(I205+Сум(K205:L205),0)] {" &amp; Round(I205+Sum(K205:L205),0) &amp; "}.")," ")</f>
        <v>0.0</v>
      </c>
    </row>
    <row r="206" customHeight="true" ht="30.0">
      <c r="A206" s="5" t="inlineStr">
        <is>
          <t>Сен-Пьер и Микелон</t>
        </is>
      </c>
      <c r="B206" s="1" t="inlineStr">
        <is>
          <t>200</t>
        </is>
      </c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13">
        <f>IFERROR(If(C206=Round(D206+Sum(F206:G206),0)," "," Стр. 200, Гр. 1 [C206]  д.б. = [Окр(D206+Сум(F206:G206),0)] {" &amp; Round(D206+Sum(F206:G206),0) &amp; "}.")," ") &amp; IFERROR(If(H206=Round(I206+Sum(K206:L206),0)," "," Стр. 200, Гр. 6 [H206]  д.б. = [Окр(I206+Сум(K206:L206),0)] {" &amp; Round(I206+Sum(K206:L206),0) &amp; "}.")," ")</f>
        <v>0.0</v>
      </c>
    </row>
    <row r="207" customHeight="true" ht="30.0">
      <c r="A207" s="5" t="inlineStr">
        <is>
          <t>Сент-Винсент и Гренадины</t>
        </is>
      </c>
      <c r="B207" s="1" t="inlineStr">
        <is>
          <t>201</t>
        </is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13">
        <f>IFERROR(If(C207=Round(D207+Sum(F207:G207),0)," "," Стр. 201, Гр. 1 [C207]  д.б. = [Окр(D207+Сум(F207:G207),0)] {" &amp; Round(D207+Sum(F207:G207),0) &amp; "}.")," ") &amp; IFERROR(If(H207=Round(I207+Sum(K207:L207),0)," "," Стр. 201, Гр. 6 [H207]  д.б. = [Окр(I207+Сум(K207:L207),0)] {" &amp; Round(I207+Sum(K207:L207),0) &amp; "}.")," ")</f>
        <v>0.0</v>
      </c>
    </row>
    <row r="208" customHeight="true" ht="30.0">
      <c r="A208" s="5" t="inlineStr">
        <is>
          <t>Сан-Марино</t>
        </is>
      </c>
      <c r="B208" s="1" t="inlineStr">
        <is>
          <t>202</t>
        </is>
      </c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13">
        <f>IFERROR(If(C208=Round(D208+Sum(F208:G208),0)," "," Стр. 202, Гр. 1 [C208]  д.б. = [Окр(D208+Сум(F208:G208),0)] {" &amp; Round(D208+Sum(F208:G208),0) &amp; "}.")," ") &amp; IFERROR(If(H208=Round(I208+Sum(K208:L208),0)," "," Стр. 202, Гр. 6 [H208]  д.б. = [Окр(I208+Сум(K208:L208),0)] {" &amp; Round(I208+Sum(K208:L208),0) &amp; "}.")," ")</f>
        <v>0.0</v>
      </c>
    </row>
    <row r="209" customHeight="true" ht="30.0">
      <c r="A209" s="5" t="inlineStr">
        <is>
          <t>Сан-Томе и Принсипи</t>
        </is>
      </c>
      <c r="B209" s="1" t="inlineStr">
        <is>
          <t>203</t>
        </is>
      </c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13">
        <f>IFERROR(If(C209=Round(D209+Sum(F209:G209),0)," "," Стр. 203, Гр. 1 [C209]  д.б. = [Окр(D209+Сум(F209:G209),0)] {" &amp; Round(D209+Sum(F209:G209),0) &amp; "}.")," ") &amp; IFERROR(If(H209=Round(I209+Sum(K209:L209),0)," "," Стр. 203, Гр. 6 [H209]  д.б. = [Окр(I209+Сум(K209:L209),0)] {" &amp; Round(I209+Sum(K209:L209),0) &amp; "}.")," ")</f>
        <v>0.0</v>
      </c>
    </row>
    <row r="210" customHeight="true" ht="30.0">
      <c r="A210" s="5" t="inlineStr">
        <is>
          <t>Саудовская Аравия</t>
        </is>
      </c>
      <c r="B210" s="1" t="inlineStr">
        <is>
          <t>204</t>
        </is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13">
        <f>IFERROR(If(C210=Round(D210+Sum(F210:G210),0)," "," Стр. 204, Гр. 1 [C210]  д.б. = [Окр(D210+Сум(F210:G210),0)] {" &amp; Round(D210+Sum(F210:G210),0) &amp; "}.")," ") &amp; IFERROR(If(H210=Round(I210+Sum(K210:L210),0)," "," Стр. 204, Гр. 6 [H210]  д.б. = [Окр(I210+Сум(K210:L210),0)] {" &amp; Round(I210+Sum(K210:L210),0) &amp; "}.")," ")</f>
        <v>0.0</v>
      </c>
    </row>
    <row r="211" customHeight="true" ht="30.0">
      <c r="A211" s="5" t="inlineStr">
        <is>
          <t>Сенегал</t>
        </is>
      </c>
      <c r="B211" s="1" t="inlineStr">
        <is>
          <t>205</t>
        </is>
      </c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13">
        <f>IFERROR(If(C211=Round(D211+Sum(F211:G211),0)," "," Стр. 205, Гр. 1 [C211]  д.б. = [Окр(D211+Сум(F211:G211),0)] {" &amp; Round(D211+Sum(F211:G211),0) &amp; "}.")," ") &amp; IFERROR(If(H211=Round(I211+Sum(K211:L211),0)," "," Стр. 205, Гр. 6 [H211]  д.б. = [Окр(I211+Сум(K211:L211),0)] {" &amp; Round(I211+Sum(K211:L211),0) &amp; "}.")," ")</f>
        <v>0.0</v>
      </c>
    </row>
    <row r="212" customHeight="true" ht="30.0">
      <c r="A212" s="5" t="inlineStr">
        <is>
          <t>Сербия</t>
        </is>
      </c>
      <c r="B212" s="1" t="inlineStr">
        <is>
          <t>206</t>
        </is>
      </c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13">
        <f>IFERROR(If(C212=Round(D212+Sum(F212:G212),0)," "," Стр. 206, Гр. 1 [C212]  д.б. = [Окр(D212+Сум(F212:G212),0)] {" &amp; Round(D212+Sum(F212:G212),0) &amp; "}.")," ") &amp; IFERROR(If(H212=Round(I212+Sum(K212:L212),0)," "," Стр. 206, Гр. 6 [H212]  д.б. = [Окр(I212+Сум(K212:L212),0)] {" &amp; Round(I212+Sum(K212:L212),0) &amp; "}.")," ")</f>
        <v>0.0</v>
      </c>
    </row>
    <row r="213" customHeight="true" ht="30.0">
      <c r="A213" s="5" t="inlineStr">
        <is>
          <t>Сейшелы</t>
        </is>
      </c>
      <c r="B213" s="1" t="inlineStr">
        <is>
          <t>207</t>
        </is>
      </c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13">
        <f>IFERROR(If(C213=Round(D213+Sum(F213:G213),0)," "," Стр. 207, Гр. 1 [C213]  д.б. = [Окр(D213+Сум(F213:G213),0)] {" &amp; Round(D213+Sum(F213:G213),0) &amp; "}.")," ") &amp; IFERROR(If(H213=Round(I213+Sum(K213:L213),0)," "," Стр. 207, Гр. 6 [H213]  д.б. = [Окр(I213+Сум(K213:L213),0)] {" &amp; Round(I213+Sum(K213:L213),0) &amp; "}.")," ")</f>
        <v>0.0</v>
      </c>
    </row>
    <row r="214" customHeight="true" ht="30.0">
      <c r="A214" s="5" t="inlineStr">
        <is>
          <t>Сьерра-Леоне</t>
        </is>
      </c>
      <c r="B214" s="1" t="inlineStr">
        <is>
          <t>208</t>
        </is>
      </c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13">
        <f>IFERROR(If(C214=Round(D214+Sum(F214:G214),0)," "," Стр. 208, Гр. 1 [C214]  д.б. = [Окр(D214+Сум(F214:G214),0)] {" &amp; Round(D214+Sum(F214:G214),0) &amp; "}.")," ") &amp; IFERROR(If(H214=Round(I214+Sum(K214:L214),0)," "," Стр. 208, Гр. 6 [H214]  д.б. = [Окр(I214+Сум(K214:L214),0)] {" &amp; Round(I214+Sum(K214:L214),0) &amp; "}.")," ")</f>
        <v>0.0</v>
      </c>
    </row>
    <row r="215" customHeight="true" ht="30.0">
      <c r="A215" s="5" t="inlineStr">
        <is>
          <t>Сингапур</t>
        </is>
      </c>
      <c r="B215" s="1" t="inlineStr">
        <is>
          <t>209</t>
        </is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13">
        <f>IFERROR(If(C215=Round(D215+Sum(F215:G215),0)," "," Стр. 209, Гр. 1 [C215]  д.б. = [Окр(D215+Сум(F215:G215),0)] {" &amp; Round(D215+Sum(F215:G215),0) &amp; "}.")," ") &amp; IFERROR(If(H215=Round(I215+Sum(K215:L215),0)," "," Стр. 209, Гр. 6 [H215]  д.б. = [Окр(I215+Сум(K215:L215),0)] {" &amp; Round(I215+Sum(K215:L215),0) &amp; "}.")," ")</f>
        <v>0.0</v>
      </c>
    </row>
    <row r="216" customHeight="true" ht="30.0">
      <c r="A216" s="5" t="inlineStr">
        <is>
          <t>Словакия</t>
        </is>
      </c>
      <c r="B216" s="1" t="inlineStr">
        <is>
          <t>210</t>
        </is>
      </c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13">
        <f>IFERROR(If(C216=Round(D216+Sum(F216:G216),0)," "," Стр. 210, Гр. 1 [C216]  д.б. = [Окр(D216+Сум(F216:G216),0)] {" &amp; Round(D216+Sum(F216:G216),0) &amp; "}.")," ") &amp; IFERROR(If(H216=Round(I216+Sum(K216:L216),0)," "," Стр. 210, Гр. 6 [H216]  д.б. = [Окр(I216+Сум(K216:L216),0)] {" &amp; Round(I216+Sum(K216:L216),0) &amp; "}.")," ")</f>
        <v>0.0</v>
      </c>
    </row>
    <row r="217" customHeight="true" ht="30.0">
      <c r="A217" s="5" t="inlineStr">
        <is>
          <t>Вьетнам</t>
        </is>
      </c>
      <c r="B217" s="1" t="inlineStr">
        <is>
          <t>211</t>
        </is>
      </c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13">
        <f>IFERROR(If(C217=Round(D217+Sum(F217:G217),0)," "," Стр. 211, Гр. 1 [C217]  д.б. = [Окр(D217+Сум(F217:G217),0)] {" &amp; Round(D217+Sum(F217:G217),0) &amp; "}.")," ") &amp; IFERROR(If(H217=Round(I217+Sum(K217:L217),0)," "," Стр. 211, Гр. 6 [H217]  д.б. = [Окр(I217+Сум(K217:L217),0)] {" &amp; Round(I217+Sum(K217:L217),0) &amp; "}.")," ")</f>
        <v>0.0</v>
      </c>
    </row>
    <row r="218" customHeight="true" ht="30.0">
      <c r="A218" s="5" t="inlineStr">
        <is>
          <t>Словения</t>
        </is>
      </c>
      <c r="B218" s="1" t="inlineStr">
        <is>
          <t>212</t>
        </is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13">
        <f>IFERROR(If(C218=Round(D218+Sum(F218:G218),0)," "," Стр. 212, Гр. 1 [C218]  д.б. = [Окр(D218+Сум(F218:G218),0)] {" &amp; Round(D218+Sum(F218:G218),0) &amp; "}.")," ") &amp; IFERROR(If(H218=Round(I218+Sum(K218:L218),0)," "," Стр. 212, Гр. 6 [H218]  д.б. = [Окр(I218+Сум(K218:L218),0)] {" &amp; Round(I218+Sum(K218:L218),0) &amp; "}.")," ")</f>
        <v>0.0</v>
      </c>
    </row>
    <row r="219" customHeight="true" ht="30.0">
      <c r="A219" s="5" t="inlineStr">
        <is>
          <t>Сомали</t>
        </is>
      </c>
      <c r="B219" s="1" t="inlineStr">
        <is>
          <t>213</t>
        </is>
      </c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13">
        <f>IFERROR(If(C219=Round(D219+Sum(F219:G219),0)," "," Стр. 213, Гр. 1 [C219]  д.б. = [Окр(D219+Сум(F219:G219),0)] {" &amp; Round(D219+Sum(F219:G219),0) &amp; "}.")," ") &amp; IFERROR(If(H219=Round(I219+Sum(K219:L219),0)," "," Стр. 213, Гр. 6 [H219]  д.б. = [Окр(I219+Сум(K219:L219),0)] {" &amp; Round(I219+Sum(K219:L219),0) &amp; "}.")," ")</f>
        <v>0.0</v>
      </c>
    </row>
    <row r="220" customHeight="true" ht="30.0">
      <c r="A220" s="5" t="inlineStr">
        <is>
          <t>Южная Африка</t>
        </is>
      </c>
      <c r="B220" s="1" t="inlineStr">
        <is>
          <t>214</t>
        </is>
      </c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13">
        <f>IFERROR(If(C220=Round(D220+Sum(F220:G220),0)," "," Стр. 214, Гр. 1 [C220]  д.б. = [Окр(D220+Сум(F220:G220),0)] {" &amp; Round(D220+Sum(F220:G220),0) &amp; "}.")," ") &amp; IFERROR(If(H220=Round(I220+Sum(K220:L220),0)," "," Стр. 214, Гр. 6 [H220]  д.б. = [Окр(I220+Сум(K220:L220),0)] {" &amp; Round(I220+Sum(K220:L220),0) &amp; "}.")," ")</f>
        <v>0.0</v>
      </c>
    </row>
    <row r="221" customHeight="true" ht="30.0">
      <c r="A221" s="5" t="inlineStr">
        <is>
          <t>Зимбабве</t>
        </is>
      </c>
      <c r="B221" s="1" t="inlineStr">
        <is>
          <t>215</t>
        </is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13">
        <f>IFERROR(If(C221=Round(D221+Sum(F221:G221),0)," "," Стр. 215, Гр. 1 [C221]  д.б. = [Окр(D221+Сум(F221:G221),0)] {" &amp; Round(D221+Sum(F221:G221),0) &amp; "}.")," ") &amp; IFERROR(If(H221=Round(I221+Sum(K221:L221),0)," "," Стр. 215, Гр. 6 [H221]  д.б. = [Окр(I221+Сум(K221:L221),0)] {" &amp; Round(I221+Sum(K221:L221),0) &amp; "}.")," ")</f>
        <v>0.0</v>
      </c>
    </row>
    <row r="222" customHeight="true" ht="30.0">
      <c r="A222" s="5" t="inlineStr">
        <is>
          <t>Испания</t>
        </is>
      </c>
      <c r="B222" s="1" t="inlineStr">
        <is>
          <t>216</t>
        </is>
      </c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13">
        <f>IFERROR(If(C222=Round(D222+Sum(F222:G222),0)," "," Стр. 216, Гр. 1 [C222]  д.б. = [Окр(D222+Сум(F222:G222),0)] {" &amp; Round(D222+Sum(F222:G222),0) &amp; "}.")," ") &amp; IFERROR(If(H222=Round(I222+Sum(K222:L222),0)," "," Стр. 216, Гр. 6 [H222]  д.б. = [Окр(I222+Сум(K222:L222),0)] {" &amp; Round(I222+Sum(K222:L222),0) &amp; "}.")," ")</f>
        <v>0.0</v>
      </c>
    </row>
    <row r="223" customHeight="true" ht="30.0">
      <c r="A223" s="5" t="inlineStr">
        <is>
          <t>Западная Сахара</t>
        </is>
      </c>
      <c r="B223" s="1" t="inlineStr">
        <is>
          <t>217</t>
        </is>
      </c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13">
        <f>IFERROR(If(C223=Round(D223+Sum(F223:G223),0)," "," Стр. 217, Гр. 1 [C223]  д.б. = [Окр(D223+Сум(F223:G223),0)] {" &amp; Round(D223+Sum(F223:G223),0) &amp; "}.")," ") &amp; IFERROR(If(H223=Round(I223+Sum(K223:L223),0)," "," Стр. 217, Гр. 6 [H223]  д.б. = [Окр(I223+Сум(K223:L223),0)] {" &amp; Round(I223+Sum(K223:L223),0) &amp; "}.")," ")</f>
        <v>0.0</v>
      </c>
    </row>
    <row r="224" customHeight="true" ht="30.0">
      <c r="A224" s="5" t="inlineStr">
        <is>
          <t>Судан</t>
        </is>
      </c>
      <c r="B224" s="1" t="inlineStr">
        <is>
          <t>218</t>
        </is>
      </c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13">
        <f>IFERROR(If(C224=Round(D224+Sum(F224:G224),0)," "," Стр. 218, Гр. 1 [C224]  д.б. = [Окр(D224+Сум(F224:G224),0)] {" &amp; Round(D224+Sum(F224:G224),0) &amp; "}.")," ") &amp; IFERROR(If(H224=Round(I224+Sum(K224:L224),0)," "," Стр. 218, Гр. 6 [H224]  д.б. = [Окр(I224+Сум(K224:L224),0)] {" &amp; Round(I224+Sum(K224:L224),0) &amp; "}.")," ")</f>
        <v>0.0</v>
      </c>
    </row>
    <row r="225" customHeight="true" ht="30.0">
      <c r="A225" s="5" t="inlineStr">
        <is>
          <t>Суринам</t>
        </is>
      </c>
      <c r="B225" s="1" t="inlineStr">
        <is>
          <t>219</t>
        </is>
      </c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13">
        <f>IFERROR(If(C225=Round(D225+Sum(F225:G225),0)," "," Стр. 219, Гр. 1 [C225]  д.б. = [Окр(D225+Сум(F225:G225),0)] {" &amp; Round(D225+Sum(F225:G225),0) &amp; "}.")," ") &amp; IFERROR(If(H225=Round(I225+Sum(K225:L225),0)," "," Стр. 219, Гр. 6 [H225]  д.б. = [Окр(I225+Сум(K225:L225),0)] {" &amp; Round(I225+Sum(K225:L225),0) &amp; "}.")," ")</f>
        <v>0.0</v>
      </c>
    </row>
    <row r="226" customHeight="true" ht="30.0">
      <c r="A226" s="5" t="inlineStr">
        <is>
          <t>Шпицберген и Ян Майен</t>
        </is>
      </c>
      <c r="B226" s="1" t="inlineStr">
        <is>
          <t>220</t>
        </is>
      </c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13">
        <f>IFERROR(If(C226=Round(D226+Sum(F226:G226),0)," "," Стр. 220, Гр. 1 [C226]  д.б. = [Окр(D226+Сум(F226:G226),0)] {" &amp; Round(D226+Sum(F226:G226),0) &amp; "}.")," ") &amp; IFERROR(If(H226=Round(I226+Sum(K226:L226),0)," "," Стр. 220, Гр. 6 [H226]  д.б. = [Окр(I226+Сум(K226:L226),0)] {" &amp; Round(I226+Sum(K226:L226),0) &amp; "}.")," ")</f>
        <v>0.0</v>
      </c>
    </row>
    <row r="227" customHeight="true" ht="30.0">
      <c r="A227" s="5" t="inlineStr">
        <is>
          <t>Эсватини</t>
        </is>
      </c>
      <c r="B227" s="1" t="inlineStr">
        <is>
          <t>221</t>
        </is>
      </c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13">
        <f>IFERROR(If(C227=Round(D227+Sum(F227:G227),0)," "," Стр. 221, Гр. 1 [C227]  д.б. = [Окр(D227+Сум(F227:G227),0)] {" &amp; Round(D227+Sum(F227:G227),0) &amp; "}.")," ") &amp; IFERROR(If(H227=Round(I227+Sum(K227:L227),0)," "," Стр. 221, Гр. 6 [H227]  д.б. = [Окр(I227+Сум(K227:L227),0)] {" &amp; Round(I227+Sum(K227:L227),0) &amp; "}.")," ")</f>
        <v>0.0</v>
      </c>
    </row>
    <row r="228" customHeight="true" ht="30.0">
      <c r="A228" s="5" t="inlineStr">
        <is>
          <t>Швеция</t>
        </is>
      </c>
      <c r="B228" s="1" t="inlineStr">
        <is>
          <t>222</t>
        </is>
      </c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13">
        <f>IFERROR(If(C228=Round(D228+Sum(F228:G228),0)," "," Стр. 222, Гр. 1 [C228]  д.б. = [Окр(D228+Сум(F228:G228),0)] {" &amp; Round(D228+Sum(F228:G228),0) &amp; "}.")," ") &amp; IFERROR(If(H228=Round(I228+Sum(K228:L228),0)," "," Стр. 222, Гр. 6 [H228]  д.б. = [Окр(I228+Сум(K228:L228),0)] {" &amp; Round(I228+Sum(K228:L228),0) &amp; "}.")," ")</f>
        <v>0.0</v>
      </c>
    </row>
    <row r="229" customHeight="true" ht="30.0">
      <c r="A229" s="5" t="inlineStr">
        <is>
          <t>Швейцария</t>
        </is>
      </c>
      <c r="B229" s="1" t="inlineStr">
        <is>
          <t>223</t>
        </is>
      </c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13">
        <f>IFERROR(If(C229=Round(D229+Sum(F229:G229),0)," "," Стр. 223, Гр. 1 [C229]  д.б. = [Окр(D229+Сум(F229:G229),0)] {" &amp; Round(D229+Sum(F229:G229),0) &amp; "}.")," ") &amp; IFERROR(If(H229=Round(I229+Sum(K229:L229),0)," "," Стр. 223, Гр. 6 [H229]  д.б. = [Окр(I229+Сум(K229:L229),0)] {" &amp; Round(I229+Sum(K229:L229),0) &amp; "}.")," ")</f>
        <v>0.0</v>
      </c>
    </row>
    <row r="230" customHeight="true" ht="30.0">
      <c r="A230" s="5" t="inlineStr">
        <is>
          <t>Сирийская Арабская Республика</t>
        </is>
      </c>
      <c r="B230" s="1" t="inlineStr">
        <is>
          <t>224</t>
        </is>
      </c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13">
        <f>IFERROR(If(C230=Round(D230+Sum(F230:G230),0)," "," Стр. 224, Гр. 1 [C230]  д.б. = [Окр(D230+Сум(F230:G230),0)] {" &amp; Round(D230+Sum(F230:G230),0) &amp; "}.")," ") &amp; IFERROR(If(H230=Round(I230+Sum(K230:L230),0)," "," Стр. 224, Гр. 6 [H230]  д.б. = [Окр(I230+Сум(K230:L230),0)] {" &amp; Round(I230+Sum(K230:L230),0) &amp; "}.")," ")</f>
        <v>0.0</v>
      </c>
    </row>
    <row r="231" customHeight="true" ht="30.0">
      <c r="A231" s="5" t="inlineStr">
        <is>
          <t>Таиланд</t>
        </is>
      </c>
      <c r="B231" s="1" t="inlineStr">
        <is>
          <t>225</t>
        </is>
      </c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13">
        <f>IFERROR(If(C231=Round(D231+Sum(F231:G231),0)," "," Стр. 225, Гр. 1 [C231]  д.б. = [Окр(D231+Сум(F231:G231),0)] {" &amp; Round(D231+Sum(F231:G231),0) &amp; "}.")," ") &amp; IFERROR(If(H231=Round(I231+Sum(K231:L231),0)," "," Стр. 225, Гр. 6 [H231]  д.б. = [Окр(I231+Сум(K231:L231),0)] {" &amp; Round(I231+Sum(K231:L231),0) &amp; "}.")," ")</f>
        <v>0.0</v>
      </c>
    </row>
    <row r="232" customHeight="true" ht="30.0">
      <c r="A232" s="5" t="inlineStr">
        <is>
          <t>Того</t>
        </is>
      </c>
      <c r="B232" s="1" t="inlineStr">
        <is>
          <t>226</t>
        </is>
      </c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13">
        <f>IFERROR(If(C232=Round(D232+Sum(F232:G232),0)," "," Стр. 226, Гр. 1 [C232]  д.б. = [Окр(D232+Сум(F232:G232),0)] {" &amp; Round(D232+Sum(F232:G232),0) &amp; "}.")," ") &amp; IFERROR(If(H232=Round(I232+Sum(K232:L232),0)," "," Стр. 226, Гр. 6 [H232]  д.б. = [Окр(I232+Сум(K232:L232),0)] {" &amp; Round(I232+Sum(K232:L232),0) &amp; "}.")," ")</f>
        <v>0.0</v>
      </c>
    </row>
    <row r="233" customHeight="true" ht="30.0">
      <c r="A233" s="5" t="inlineStr">
        <is>
          <t>Токелау</t>
        </is>
      </c>
      <c r="B233" s="1" t="inlineStr">
        <is>
          <t>227</t>
        </is>
      </c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13">
        <f>IFERROR(If(C233=Round(D233+Sum(F233:G233),0)," "," Стр. 227, Гр. 1 [C233]  д.б. = [Окр(D233+Сум(F233:G233),0)] {" &amp; Round(D233+Sum(F233:G233),0) &amp; "}.")," ") &amp; IFERROR(If(H233=Round(I233+Sum(K233:L233),0)," "," Стр. 227, Гр. 6 [H233]  д.б. = [Окр(I233+Сум(K233:L233),0)] {" &amp; Round(I233+Sum(K233:L233),0) &amp; "}.")," ")</f>
        <v>0.0</v>
      </c>
    </row>
    <row r="234" customHeight="true" ht="30.0">
      <c r="A234" s="5" t="inlineStr">
        <is>
          <t>Тонга</t>
        </is>
      </c>
      <c r="B234" s="1" t="inlineStr">
        <is>
          <t>228</t>
        </is>
      </c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13">
        <f>IFERROR(If(C234=Round(D234+Sum(F234:G234),0)," "," Стр. 228, Гр. 1 [C234]  д.б. = [Окр(D234+Сум(F234:G234),0)] {" &amp; Round(D234+Sum(F234:G234),0) &amp; "}.")," ") &amp; IFERROR(If(H234=Round(I234+Sum(K234:L234),0)," "," Стр. 228, Гр. 6 [H234]  д.б. = [Окр(I234+Сум(K234:L234),0)] {" &amp; Round(I234+Sum(K234:L234),0) &amp; "}.")," ")</f>
        <v>0.0</v>
      </c>
    </row>
    <row r="235" customHeight="true" ht="30.0">
      <c r="A235" s="5" t="inlineStr">
        <is>
          <t>Тринидад и Тобаго</t>
        </is>
      </c>
      <c r="B235" s="1" t="inlineStr">
        <is>
          <t>229</t>
        </is>
      </c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13">
        <f>IFERROR(If(C235=Round(D235+Sum(F235:G235),0)," "," Стр. 229, Гр. 1 [C235]  д.б. = [Окр(D235+Сум(F235:G235),0)] {" &amp; Round(D235+Sum(F235:G235),0) &amp; "}.")," ") &amp; IFERROR(If(H235=Round(I235+Sum(K235:L235),0)," "," Стр. 229, Гр. 6 [H235]  д.б. = [Окр(I235+Сум(K235:L235),0)] {" &amp; Round(I235+Sum(K235:L235),0) &amp; "}.")," ")</f>
        <v>0.0</v>
      </c>
    </row>
    <row r="236" customHeight="true" ht="30.0">
      <c r="A236" s="5" t="inlineStr">
        <is>
          <t>Объединенные Арабские Эмираты</t>
        </is>
      </c>
      <c r="B236" s="1" t="inlineStr">
        <is>
          <t>230</t>
        </is>
      </c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13">
        <f>IFERROR(If(C236=Round(D236+Sum(F236:G236),0)," "," Стр. 230, Гр. 1 [C236]  д.б. = [Окр(D236+Сум(F236:G236),0)] {" &amp; Round(D236+Sum(F236:G236),0) &amp; "}.")," ") &amp; IFERROR(If(H236=Round(I236+Sum(K236:L236),0)," "," Стр. 230, Гр. 6 [H236]  д.б. = [Окр(I236+Сум(K236:L236),0)] {" &amp; Round(I236+Sum(K236:L236),0) &amp; "}.")," ")</f>
        <v>0.0</v>
      </c>
    </row>
    <row r="237" customHeight="true" ht="30.0">
      <c r="A237" s="5" t="inlineStr">
        <is>
          <t>Тунис</t>
        </is>
      </c>
      <c r="B237" s="1" t="inlineStr">
        <is>
          <t>231</t>
        </is>
      </c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13">
        <f>IFERROR(If(C237=Round(D237+Sum(F237:G237),0)," "," Стр. 231, Гр. 1 [C237]  д.б. = [Окр(D237+Сум(F237:G237),0)] {" &amp; Round(D237+Sum(F237:G237),0) &amp; "}.")," ") &amp; IFERROR(If(H237=Round(I237+Sum(K237:L237),0)," "," Стр. 231, Гр. 6 [H237]  д.б. = [Окр(I237+Сум(K237:L237),0)] {" &amp; Round(I237+Sum(K237:L237),0) &amp; "}.")," ")</f>
        <v>0.0</v>
      </c>
    </row>
    <row r="238" customHeight="true" ht="30.0">
      <c r="A238" s="5" t="inlineStr">
        <is>
          <t>Турция</t>
        </is>
      </c>
      <c r="B238" s="1" t="inlineStr">
        <is>
          <t>232</t>
        </is>
      </c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13">
        <f>IFERROR(If(C238=Round(D238+Sum(F238:G238),0)," "," Стр. 232, Гр. 1 [C238]  д.б. = [Окр(D238+Сум(F238:G238),0)] {" &amp; Round(D238+Sum(F238:G238),0) &amp; "}.")," ") &amp; IFERROR(If(H238=Round(I238+Sum(K238:L238),0)," "," Стр. 232, Гр. 6 [H238]  д.б. = [Окр(I238+Сум(K238:L238),0)] {" &amp; Round(I238+Sum(K238:L238),0) &amp; "}.")," ")</f>
        <v>0.0</v>
      </c>
    </row>
    <row r="239" customHeight="true" ht="30.0">
      <c r="A239" s="5" t="inlineStr">
        <is>
          <t>Острова Теркс и Кайкос</t>
        </is>
      </c>
      <c r="B239" s="1" t="inlineStr">
        <is>
          <t>233</t>
        </is>
      </c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13">
        <f>IFERROR(If(C239=Round(D239+Sum(F239:G239),0)," "," Стр. 233, Гр. 1 [C239]  д.б. = [Окр(D239+Сум(F239:G239),0)] {" &amp; Round(D239+Sum(F239:G239),0) &amp; "}.")," ") &amp; IFERROR(If(H239=Round(I239+Sum(K239:L239),0)," "," Стр. 233, Гр. 6 [H239]  д.б. = [Окр(I239+Сум(K239:L239),0)] {" &amp; Round(I239+Sum(K239:L239),0) &amp; "}.")," ")</f>
        <v>0.0</v>
      </c>
    </row>
    <row r="240" customHeight="true" ht="30.0">
      <c r="A240" s="5" t="inlineStr">
        <is>
          <t>Тувалу</t>
        </is>
      </c>
      <c r="B240" s="1" t="inlineStr">
        <is>
          <t>234</t>
        </is>
      </c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13">
        <f>IFERROR(If(C240=Round(D240+Sum(F240:G240),0)," "," Стр. 234, Гр. 1 [C240]  д.б. = [Окр(D240+Сум(F240:G240),0)] {" &amp; Round(D240+Sum(F240:G240),0) &amp; "}.")," ") &amp; IFERROR(If(H240=Round(I240+Sum(K240:L240),0)," "," Стр. 234, Гр. 6 [H240]  д.б. = [Окр(I240+Сум(K240:L240),0)] {" &amp; Round(I240+Sum(K240:L240),0) &amp; "}.")," ")</f>
        <v>0.0</v>
      </c>
    </row>
    <row r="241" customHeight="true" ht="30.0">
      <c r="A241" s="5" t="inlineStr">
        <is>
          <t>Уганда</t>
        </is>
      </c>
      <c r="B241" s="1" t="inlineStr">
        <is>
          <t>235</t>
        </is>
      </c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13">
        <f>IFERROR(If(C241=Round(D241+Sum(F241:G241),0)," "," Стр. 235, Гр. 1 [C241]  д.б. = [Окр(D241+Сум(F241:G241),0)] {" &amp; Round(D241+Sum(F241:G241),0) &amp; "}.")," ") &amp; IFERROR(If(H241=Round(I241+Sum(K241:L241),0)," "," Стр. 235, Гр. 6 [H241]  д.б. = [Окр(I241+Сум(K241:L241),0)] {" &amp; Round(I241+Sum(K241:L241),0) &amp; "}.")," ")</f>
        <v>0.0</v>
      </c>
    </row>
    <row r="242" customHeight="true" ht="30.0">
      <c r="A242" s="5" t="inlineStr">
        <is>
          <t>Северная Македония</t>
        </is>
      </c>
      <c r="B242" s="1" t="inlineStr">
        <is>
          <t>236</t>
        </is>
      </c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13">
        <f>IFERROR(If(C242=Round(D242+Sum(F242:G242),0)," "," Стр. 236, Гр. 1 [C242]  д.б. = [Окр(D242+Сум(F242:G242),0)] {" &amp; Round(D242+Sum(F242:G242),0) &amp; "}.")," ") &amp; IFERROR(If(H242=Round(I242+Sum(K242:L242),0)," "," Стр. 236, Гр. 6 [H242]  д.б. = [Окр(I242+Сум(K242:L242),0)] {" &amp; Round(I242+Sum(K242:L242),0) &amp; "}.")," ")</f>
        <v>0.0</v>
      </c>
    </row>
    <row r="243" customHeight="true" ht="30.0">
      <c r="A243" s="5" t="inlineStr">
        <is>
          <t>Египет</t>
        </is>
      </c>
      <c r="B243" s="1" t="inlineStr">
        <is>
          <t>237</t>
        </is>
      </c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13">
        <f>IFERROR(If(C243=Round(D243+Sum(F243:G243),0)," "," Стр. 237, Гр. 1 [C243]  д.б. = [Окр(D243+Сум(F243:G243),0)] {" &amp; Round(D243+Sum(F243:G243),0) &amp; "}.")," ") &amp; IFERROR(If(H243=Round(I243+Sum(K243:L243),0)," "," Стр. 237, Гр. 6 [H243]  д.б. = [Окр(I243+Сум(K243:L243),0)] {" &amp; Round(I243+Sum(K243:L243),0) &amp; "}.")," ")</f>
        <v>0.0</v>
      </c>
    </row>
    <row r="244" customHeight="true" ht="30.0">
      <c r="A244" s="5" t="inlineStr">
        <is>
          <t>Соединенное Королевство</t>
        </is>
      </c>
      <c r="B244" s="1" t="inlineStr">
        <is>
          <t>238</t>
        </is>
      </c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13">
        <f>IFERROR(If(C244=Round(D244+Sum(F244:G244),0)," "," Стр. 238, Гр. 1 [C244]  д.б. = [Окр(D244+Сум(F244:G244),0)] {" &amp; Round(D244+Sum(F244:G244),0) &amp; "}.")," ") &amp; IFERROR(If(H244=Round(I244+Sum(K244:L244),0)," "," Стр. 238, Гр. 6 [H244]  д.б. = [Окр(I244+Сум(K244:L244),0)] {" &amp; Round(I244+Sum(K244:L244),0) &amp; "}.")," ")</f>
        <v>0.0</v>
      </c>
    </row>
    <row r="245" customHeight="true" ht="30.0">
      <c r="A245" s="5" t="inlineStr">
        <is>
          <t>Гернси</t>
        </is>
      </c>
      <c r="B245" s="1" t="inlineStr">
        <is>
          <t>239</t>
        </is>
      </c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13">
        <f>IFERROR(If(C245=Round(D245+Sum(F245:G245),0)," "," Стр. 239, Гр. 1 [C245]  д.б. = [Окр(D245+Сум(F245:G245),0)] {" &amp; Round(D245+Sum(F245:G245),0) &amp; "}.")," ") &amp; IFERROR(If(H245=Round(I245+Sum(K245:L245),0)," "," Стр. 239, Гр. 6 [H245]  д.б. = [Окр(I245+Сум(K245:L245),0)] {" &amp; Round(I245+Sum(K245:L245),0) &amp; "}.")," ")</f>
        <v>0.0</v>
      </c>
    </row>
    <row r="246" customHeight="true" ht="30.0">
      <c r="A246" s="5" t="inlineStr">
        <is>
          <t>Джерси</t>
        </is>
      </c>
      <c r="B246" s="1" t="inlineStr">
        <is>
          <t>240</t>
        </is>
      </c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13">
        <f>IFERROR(If(C246=Round(D246+Sum(F246:G246),0)," "," Стр. 240, Гр. 1 [C246]  д.б. = [Окр(D246+Сум(F246:G246),0)] {" &amp; Round(D246+Sum(F246:G246),0) &amp; "}.")," ") &amp; IFERROR(If(H246=Round(I246+Sum(K246:L246),0)," "," Стр. 240, Гр. 6 [H246]  д.б. = [Окр(I246+Сум(K246:L246),0)] {" &amp; Round(I246+Sum(K246:L246),0) &amp; "}.")," ")</f>
        <v>0.0</v>
      </c>
    </row>
    <row r="247" customHeight="true" ht="30.0">
      <c r="A247" s="5" t="inlineStr">
        <is>
          <t>Остров Мэн</t>
        </is>
      </c>
      <c r="B247" s="1" t="inlineStr">
        <is>
          <t>241</t>
        </is>
      </c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13">
        <f>IFERROR(If(C247=Round(D247+Sum(F247:G247),0)," "," Стр. 241, Гр. 1 [C247]  д.б. = [Окр(D247+Сум(F247:G247),0)] {" &amp; Round(D247+Sum(F247:G247),0) &amp; "}.")," ") &amp; IFERROR(If(H247=Round(I247+Sum(K247:L247),0)," "," Стр. 241, Гр. 6 [H247]  д.б. = [Окр(I247+Сум(K247:L247),0)] {" &amp; Round(I247+Sum(K247:L247),0) &amp; "}.")," ")</f>
        <v>0.0</v>
      </c>
    </row>
    <row r="248" customHeight="true" ht="30.0">
      <c r="A248" s="5" t="inlineStr">
        <is>
          <t>Танзания, Объединенная Республика</t>
        </is>
      </c>
      <c r="B248" s="1" t="inlineStr">
        <is>
          <t>242</t>
        </is>
      </c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13">
        <f>IFERROR(If(C248=Round(D248+Sum(F248:G248),0)," "," Стр. 242, Гр. 1 [C248]  д.б. = [Окр(D248+Сум(F248:G248),0)] {" &amp; Round(D248+Sum(F248:G248),0) &amp; "}.")," ") &amp; IFERROR(If(H248=Round(I248+Sum(K248:L248),0)," "," Стр. 242, Гр. 6 [H248]  д.б. = [Окр(I248+Сум(K248:L248),0)] {" &amp; Round(I248+Sum(K248:L248),0) &amp; "}.")," ")</f>
        <v>0.0</v>
      </c>
    </row>
    <row r="249" customHeight="true" ht="30.0">
      <c r="A249" s="5" t="inlineStr">
        <is>
          <t>Соединенные Штаты</t>
        </is>
      </c>
      <c r="B249" s="1" t="inlineStr">
        <is>
          <t>243</t>
        </is>
      </c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13">
        <f>IFERROR(If(C249=Round(D249+Sum(F249:G249),0)," "," Стр. 243, Гр. 1 [C249]  д.б. = [Окр(D249+Сум(F249:G249),0)] {" &amp; Round(D249+Sum(F249:G249),0) &amp; "}.")," ") &amp; IFERROR(If(H249=Round(I249+Sum(K249:L249),0)," "," Стр. 243, Гр. 6 [H249]  д.б. = [Окр(I249+Сум(K249:L249),0)] {" &amp; Round(I249+Sum(K249:L249),0) &amp; "}.")," ")</f>
        <v>0.0</v>
      </c>
    </row>
    <row r="250" customHeight="true" ht="30.0">
      <c r="A250" s="5" t="inlineStr">
        <is>
          <t>Виргинские острова (США)</t>
        </is>
      </c>
      <c r="B250" s="1" t="inlineStr">
        <is>
          <t>244</t>
        </is>
      </c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13">
        <f>IFERROR(If(C250=Round(D250+Sum(F250:G250),0)," "," Стр. 244, Гр. 1 [C250]  д.б. = [Окр(D250+Сум(F250:G250),0)] {" &amp; Round(D250+Sum(F250:G250),0) &amp; "}.")," ") &amp; IFERROR(If(H250=Round(I250+Sum(K250:L250),0)," "," Стр. 244, Гр. 6 [H250]  д.б. = [Окр(I250+Сум(K250:L250),0)] {" &amp; Round(I250+Sum(K250:L250),0) &amp; "}.")," ")</f>
        <v>0.0</v>
      </c>
    </row>
    <row r="251" customHeight="true" ht="30.0">
      <c r="A251" s="5" t="inlineStr">
        <is>
          <t>Буркина-Фасо</t>
        </is>
      </c>
      <c r="B251" s="1" t="inlineStr">
        <is>
          <t>245</t>
        </is>
      </c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13">
        <f>IFERROR(If(C251=Round(D251+Sum(F251:G251),0)," "," Стр. 245, Гр. 1 [C251]  д.б. = [Окр(D251+Сум(F251:G251),0)] {" &amp; Round(D251+Sum(F251:G251),0) &amp; "}.")," ") &amp; IFERROR(If(H251=Round(I251+Sum(K251:L251),0)," "," Стр. 245, Гр. 6 [H251]  д.б. = [Окр(I251+Сум(K251:L251),0)] {" &amp; Round(I251+Sum(K251:L251),0) &amp; "}.")," ")</f>
        <v>0.0</v>
      </c>
    </row>
    <row r="252" customHeight="true" ht="30.0">
      <c r="A252" s="5" t="inlineStr">
        <is>
          <t>Уругвай</t>
        </is>
      </c>
      <c r="B252" s="1" t="inlineStr">
        <is>
          <t>246</t>
        </is>
      </c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13">
        <f>IFERROR(If(C252=Round(D252+Sum(F252:G252),0)," "," Стр. 246, Гр. 1 [C252]  д.б. = [Окр(D252+Сум(F252:G252),0)] {" &amp; Round(D252+Sum(F252:G252),0) &amp; "}.")," ") &amp; IFERROR(If(H252=Round(I252+Sum(K252:L252),0)," "," Стр. 246, Гр. 6 [H252]  д.б. = [Окр(I252+Сум(K252:L252),0)] {" &amp; Round(I252+Sum(K252:L252),0) &amp; "}.")," ")</f>
        <v>0.0</v>
      </c>
    </row>
    <row r="253" customHeight="true" ht="30.0">
      <c r="A253" s="5" t="inlineStr">
        <is>
          <t>Венесуэла (Боливарианская Республика)</t>
        </is>
      </c>
      <c r="B253" s="1" t="inlineStr">
        <is>
          <t>247</t>
        </is>
      </c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13">
        <f>IFERROR(If(C253=Round(D253+Sum(F253:G253),0)," "," Стр. 247, Гр. 1 [C253]  д.б. = [Окр(D253+Сум(F253:G253),0)] {" &amp; Round(D253+Sum(F253:G253),0) &amp; "}.")," ") &amp; IFERROR(If(H253=Round(I253+Sum(K253:L253),0)," "," Стр. 247, Гр. 6 [H253]  д.б. = [Окр(I253+Сум(K253:L253),0)] {" &amp; Round(I253+Sum(K253:L253),0) &amp; "}.")," ")</f>
        <v>0.0</v>
      </c>
    </row>
    <row r="254" customHeight="true" ht="30.0">
      <c r="A254" s="5" t="inlineStr">
        <is>
          <t>Уоллис и Футуна</t>
        </is>
      </c>
      <c r="B254" s="1" t="inlineStr">
        <is>
          <t>248</t>
        </is>
      </c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13">
        <f>IFERROR(If(C254=Round(D254+Sum(F254:G254),0)," "," Стр. 248, Гр. 1 [C254]  д.б. = [Окр(D254+Сум(F254:G254),0)] {" &amp; Round(D254+Sum(F254:G254),0) &amp; "}.")," ") &amp; IFERROR(If(H254=Round(I254+Sum(K254:L254),0)," "," Стр. 248, Гр. 6 [H254]  д.б. = [Окр(I254+Сум(K254:L254),0)] {" &amp; Round(I254+Sum(K254:L254),0) &amp; "}.")," ")</f>
        <v>0.0</v>
      </c>
    </row>
    <row r="255" customHeight="true" ht="30.0">
      <c r="A255" s="5" t="inlineStr">
        <is>
          <t>Самоа</t>
        </is>
      </c>
      <c r="B255" s="1" t="inlineStr">
        <is>
          <t>249</t>
        </is>
      </c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13">
        <f>IFERROR(If(C255=Round(D255+Sum(F255:G255),0)," "," Стр. 249, Гр. 1 [C255]  д.б. = [Окр(D255+Сум(F255:G255),0)] {" &amp; Round(D255+Sum(F255:G255),0) &amp; "}.")," ") &amp; IFERROR(If(H255=Round(I255+Sum(K255:L255),0)," "," Стр. 249, Гр. 6 [H255]  д.б. = [Окр(I255+Сум(K255:L255),0)] {" &amp; Round(I255+Sum(K255:L255),0) &amp; "}.")," ")</f>
        <v>0.0</v>
      </c>
    </row>
    <row r="256" customHeight="true" ht="30.0">
      <c r="A256" s="5" t="inlineStr">
        <is>
          <t>Йемен</t>
        </is>
      </c>
      <c r="B256" s="1" t="inlineStr">
        <is>
          <t>250</t>
        </is>
      </c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13">
        <f>IFERROR(If(C256=Round(D256+Sum(F256:G256),0)," "," Стр. 250, Гр. 1 [C256]  д.б. = [Окр(D256+Сум(F256:G256),0)] {" &amp; Round(D256+Sum(F256:G256),0) &amp; "}.")," ") &amp; IFERROR(If(H256=Round(I256+Sum(K256:L256),0)," "," Стр. 250, Гр. 6 [H256]  д.б. = [Окр(I256+Сум(K256:L256),0)] {" &amp; Round(I256+Sum(K256:L256),0) &amp; "}.")," ")</f>
        <v>0.0</v>
      </c>
    </row>
    <row r="257" customHeight="true" ht="30.0">
      <c r="A257" s="5" t="inlineStr">
        <is>
          <t>Замбия</t>
        </is>
      </c>
      <c r="B257" s="1" t="inlineStr">
        <is>
          <t>251</t>
        </is>
      </c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13">
        <f>IFERROR(If(C257=Round(D257+Sum(F257:G257),0)," "," Стр. 251, Гр. 1 [C257]  д.б. = [Окр(D257+Сум(F257:G257),0)] {" &amp; Round(D257+Sum(F257:G257),0) &amp; "}.")," ") &amp; IFERROR(If(H257=Round(I257+Sum(K257:L257),0)," "," Стр. 251, Гр. 6 [H257]  д.б. = [Окр(I257+Сум(K257:L257),0)] {" &amp; Round(I257+Sum(K257:L257),0) &amp; "}.")," ")</f>
        <v>0.0</v>
      </c>
    </row>
    <row r="258" customHeight="true" ht="30.0">
      <c r="A258" s="5" t="inlineStr">
        <is>
          <t>Южный Судан</t>
        </is>
      </c>
      <c r="B258" s="1" t="inlineStr">
        <is>
          <t>252</t>
        </is>
      </c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13">
        <f>IFERROR(If(C258=Round(D258+Sum(F258:G258),0)," "," Стр. 252, Гр. 1 [C258]  д.б. = [Окр(D258+Сум(F258:G258),0)] {" &amp; Round(D258+Sum(F258:G258),0) &amp; "}.")," ") &amp; IFERROR(If(H258=Round(I258+Sum(K258:L258),0)," "," Стр. 252, Гр. 6 [H258]  д.б. = [Окр(I258+Сум(K258:L258),0)] {" &amp; Round(I258+Sum(K258:L258),0) &amp; "}.")," ")</f>
        <v>0.0</v>
      </c>
    </row>
    <row r="259" customHeight="true" ht="30.0">
      <c r="A259" s="5" t="inlineStr">
        <is>
          <t>Не указавшие страну</t>
        </is>
      </c>
      <c r="B259" s="1" t="inlineStr">
        <is>
          <t>253</t>
        </is>
      </c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13">
        <f>IFERROR(If(C259=Round(D259+Sum(F259:G259),0)," "," Стр. 253, Гр. 1 [C259]  д.б. = [Окр(D259+Сум(F259:G259),0)] {" &amp; Round(D259+Sum(F259:G259),0) &amp; "}.")," ") &amp; IFERROR(If(H259=Round(I259+Sum(K259:L259),0)," "," Стр. 253, Гр. 6 [H259]  д.б. = [Окр(I259+Сум(K259:L259),0)] {" &amp; Round(I259+Sum(K259:L259),0) &amp; "}.")," ")</f>
        <v>0.0</v>
      </c>
    </row>
    <row r="261">
      <c r="A261" s="18" t="inlineStr">
        <is>
          <t>Примечание</t>
        </is>
      </c>
    </row>
    <row r="262" customHeight="true" ht="75.0">
      <c r="A262" s="10" t="inlineStr">
        <is>
          <t>Укажите границы трудоспособного возраста мужчин и  женщин в строке "Примечание пользователя"</t>
        </is>
      </c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</row>
    <row r="263">
      <c r="A263" s="18" t="inlineStr">
        <is>
          <t>Примечание пользователя</t>
        </is>
      </c>
    </row>
    <row r="264" customHeight="true" ht="75.0">
      <c r="A264" s="9" t="inlineStr">
        <is>
          <t/>
        </is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</row>
    <row r="265">
      <c r="A265" s="18" t="inlineStr">
        <is>
          <t>Контактная информация</t>
        </is>
      </c>
    </row>
    <row r="266">
      <c r="A266" t="inlineStr">
        <is>
          <t>Период, за который представлена информация:</t>
        </is>
      </c>
      <c r="B266" s="9" t="inlineStr">
        <is>
          <t/>
        </is>
      </c>
      <c r="C266" s="9"/>
      <c r="D266" s="9"/>
      <c r="E266" s="9"/>
    </row>
    <row r="267">
      <c r="A267" t="inlineStr">
        <is>
          <t>Исполнитель (ФИО):</t>
        </is>
      </c>
      <c r="B267" s="9" t="inlineStr">
        <is>
          <t/>
        </is>
      </c>
      <c r="C267" s="9"/>
      <c r="D267" s="9"/>
      <c r="E267" s="9"/>
    </row>
    <row r="268">
      <c r="A268" t="inlineStr">
        <is>
          <t>Телефон:</t>
        </is>
      </c>
      <c r="B268" s="9" t="inlineStr">
        <is>
          <t/>
        </is>
      </c>
      <c r="C268" s="9"/>
      <c r="D268" s="9"/>
      <c r="E268" s="9"/>
    </row>
    <row r="269">
      <c r="A269" t="inlineStr">
        <is>
          <t>E-mail:</t>
        </is>
      </c>
      <c r="B269" s="9" t="inlineStr">
        <is>
          <t/>
        </is>
      </c>
      <c r="C269" s="9"/>
      <c r="D269" s="9"/>
      <c r="E269" s="9"/>
    </row>
    <row r="270">
      <c r="A270" t="inlineStr">
        <is>
          <t>Другие примечания:</t>
        </is>
      </c>
      <c r="B270" s="9" t="inlineStr">
        <is>
          <t/>
        </is>
      </c>
      <c r="C270" s="9"/>
      <c r="D270" s="9"/>
      <c r="E270" s="9"/>
    </row>
  </sheetData>
  <sheetProtection deleteColumns="true" formatColumns="false" formatRows="false" sheet="true" password="CF66" scenarios="true" objects="true"/>
  <mergeCells>
    <mergeCell ref="A1:L1"/>
    <mergeCell ref="A2:A5"/>
    <mergeCell ref="B2:B5"/>
    <mergeCell ref="C2:G2"/>
    <mergeCell ref="H2:L2"/>
    <mergeCell ref="C3:C4"/>
    <mergeCell ref="D3:G3"/>
    <mergeCell ref="H3:H4"/>
    <mergeCell ref="I3:L3"/>
    <mergeCell ref="C6:L6"/>
    <mergeCell ref="A262:L262"/>
    <mergeCell ref="A264:L264"/>
    <mergeCell ref="B266:E266"/>
    <mergeCell ref="B267:E267"/>
    <mergeCell ref="B268:E268"/>
    <mergeCell ref="B269:E269"/>
    <mergeCell ref="B270:E270"/>
  </mergeCells>
  <conditionalFormatting sqref="C7">
    <cfRule type="cellIs" operator="notEqual" dxfId="0" priority="1">
      <formula>Round(C8+C20+C259,0)</formula>
    </cfRule>
  </conditionalFormatting>
  <conditionalFormatting sqref="C7">
    <cfRule type="cellIs" operator="greaterThan" dxfId="1" priority="2">
      <formula>Round(D7+Sum(F7:G7),0)</formula>
    </cfRule>
  </conditionalFormatting>
  <conditionalFormatting sqref="D7">
    <cfRule type="cellIs" operator="notEqual" dxfId="2" priority="3">
      <formula>Round(D8+D20+D259,0)</formula>
    </cfRule>
  </conditionalFormatting>
  <conditionalFormatting sqref="E7">
    <cfRule type="cellIs" operator="notEqual" dxfId="3" priority="4">
      <formula>Round(E8+E20+E259,0)</formula>
    </cfRule>
  </conditionalFormatting>
  <conditionalFormatting sqref="F7">
    <cfRule type="cellIs" operator="notEqual" dxfId="4" priority="5">
      <formula>Round(F8+F20+F259,0)</formula>
    </cfRule>
  </conditionalFormatting>
  <conditionalFormatting sqref="G7">
    <cfRule type="cellIs" operator="notEqual" dxfId="5" priority="6">
      <formula>Round(G8+G20+G259,0)</formula>
    </cfRule>
  </conditionalFormatting>
  <conditionalFormatting sqref="H7">
    <cfRule type="cellIs" operator="notEqual" dxfId="6" priority="7">
      <formula>Round(H8+H20+H26,0)</formula>
    </cfRule>
  </conditionalFormatting>
  <conditionalFormatting sqref="H7">
    <cfRule type="cellIs" operator="notEqual" dxfId="7" priority="8">
      <formula>Round(I7+Sum(K7:L7),0)</formula>
    </cfRule>
  </conditionalFormatting>
  <conditionalFormatting sqref="I7">
    <cfRule type="cellIs" operator="notEqual" dxfId="8" priority="9">
      <formula>Round(I8+I20+I259,0)</formula>
    </cfRule>
  </conditionalFormatting>
  <conditionalFormatting sqref="J7">
    <cfRule type="cellIs" operator="notEqual" dxfId="9" priority="10">
      <formula>Round(J8+J20+J259,0)</formula>
    </cfRule>
  </conditionalFormatting>
  <conditionalFormatting sqref="K7">
    <cfRule type="cellIs" operator="notEqual" dxfId="10" priority="11">
      <formula>Round(K8+K20+K259,0)</formula>
    </cfRule>
  </conditionalFormatting>
  <conditionalFormatting sqref="L7">
    <cfRule type="cellIs" operator="notEqual" dxfId="11" priority="12">
      <formula>Round(L8+L20+L259,0)</formula>
    </cfRule>
  </conditionalFormatting>
  <conditionalFormatting sqref="C8">
    <cfRule type="cellIs" operator="notEqual" dxfId="12" priority="13">
      <formula>Round(Sum(C9:C19),0)</formula>
    </cfRule>
  </conditionalFormatting>
  <conditionalFormatting sqref="C8">
    <cfRule type="cellIs" operator="notEqual" dxfId="13" priority="14">
      <formula>Round(D8+Sum(F8:G8),0)</formula>
    </cfRule>
  </conditionalFormatting>
  <conditionalFormatting sqref="D8">
    <cfRule type="cellIs" operator="notEqual" dxfId="14" priority="15">
      <formula>Round(Sum(D9:D19),0)</formula>
    </cfRule>
  </conditionalFormatting>
  <conditionalFormatting sqref="E8">
    <cfRule type="cellIs" operator="notEqual" dxfId="15" priority="16">
      <formula>Round(Sum(E9:E19),0)</formula>
    </cfRule>
  </conditionalFormatting>
  <conditionalFormatting sqref="F8">
    <cfRule type="cellIs" operator="notEqual" dxfId="16" priority="17">
      <formula>Round(Sum(F9:F19),0)</formula>
    </cfRule>
  </conditionalFormatting>
  <conditionalFormatting sqref="G8">
    <cfRule type="cellIs" operator="notEqual" dxfId="17" priority="18">
      <formula>Round(Sum(G9:G19),0)</formula>
    </cfRule>
  </conditionalFormatting>
  <conditionalFormatting sqref="H8">
    <cfRule type="cellIs" operator="notEqual" dxfId="18" priority="19">
      <formula>Round(Sum(H9:H19),0)</formula>
    </cfRule>
  </conditionalFormatting>
  <conditionalFormatting sqref="H8">
    <cfRule type="cellIs" operator="notEqual" dxfId="19" priority="20">
      <formula>Round(I8+Sum(K8:L8),0)</formula>
    </cfRule>
  </conditionalFormatting>
  <conditionalFormatting sqref="I8">
    <cfRule type="cellIs" operator="notEqual" dxfId="20" priority="21">
      <formula>Round(Sum(I9:I19),0)</formula>
    </cfRule>
  </conditionalFormatting>
  <conditionalFormatting sqref="J8">
    <cfRule type="cellIs" operator="notEqual" dxfId="21" priority="22">
      <formula>Round(Sum(J9:J19),0)</formula>
    </cfRule>
  </conditionalFormatting>
  <conditionalFormatting sqref="K8">
    <cfRule type="cellIs" operator="notEqual" dxfId="22" priority="23">
      <formula>Round(Sum(K9:K19),0)</formula>
    </cfRule>
  </conditionalFormatting>
  <conditionalFormatting sqref="L8">
    <cfRule type="cellIs" operator="notEqual" dxfId="23" priority="24">
      <formula>Round(Sum(L9:L19),0)</formula>
    </cfRule>
  </conditionalFormatting>
  <conditionalFormatting sqref="C9">
    <cfRule type="cellIs" operator="notEqual" dxfId="24" priority="25">
      <formula>Round(D9+Sum(F9:G9),0)</formula>
    </cfRule>
  </conditionalFormatting>
  <conditionalFormatting sqref="H9">
    <cfRule type="cellIs" operator="notEqual" dxfId="25" priority="26">
      <formula>Round(I9+Sum(K9:L9),0)</formula>
    </cfRule>
  </conditionalFormatting>
  <conditionalFormatting sqref="C10">
    <cfRule type="cellIs" operator="notEqual" dxfId="26" priority="27">
      <formula>Round(D10+Sum(F10:G10),0)</formula>
    </cfRule>
  </conditionalFormatting>
  <conditionalFormatting sqref="H10">
    <cfRule type="cellIs" operator="notEqual" dxfId="27" priority="28">
      <formula>Round(I10+Sum(K10:L10),0)</formula>
    </cfRule>
  </conditionalFormatting>
  <conditionalFormatting sqref="C11">
    <cfRule type="cellIs" operator="notEqual" dxfId="28" priority="29">
      <formula>Round(D11+Sum(F11:G11),0)</formula>
    </cfRule>
  </conditionalFormatting>
  <conditionalFormatting sqref="H11">
    <cfRule type="cellIs" operator="notEqual" dxfId="29" priority="30">
      <formula>Round(I11+Sum(K11:L11),0)</formula>
    </cfRule>
  </conditionalFormatting>
  <conditionalFormatting sqref="C12">
    <cfRule type="cellIs" operator="notEqual" dxfId="30" priority="31">
      <formula>Round(D12+Sum(F12:G12),0)</formula>
    </cfRule>
  </conditionalFormatting>
  <conditionalFormatting sqref="H12">
    <cfRule type="cellIs" operator="notEqual" dxfId="31" priority="32">
      <formula>Round(I12+Sum(K12:L12),0)</formula>
    </cfRule>
  </conditionalFormatting>
  <conditionalFormatting sqref="C13">
    <cfRule type="cellIs" operator="notEqual" dxfId="32" priority="33">
      <formula>Round(D13+Sum(F13:G13),0)</formula>
    </cfRule>
  </conditionalFormatting>
  <conditionalFormatting sqref="H13">
    <cfRule type="cellIs" operator="notEqual" dxfId="33" priority="34">
      <formula>Round(I13+Sum(K13:L13),0)</formula>
    </cfRule>
  </conditionalFormatting>
  <conditionalFormatting sqref="C14">
    <cfRule type="cellIs" operator="notEqual" dxfId="34" priority="35">
      <formula>Round(D14+Sum(F14:G14),0)</formula>
    </cfRule>
  </conditionalFormatting>
  <conditionalFormatting sqref="H14">
    <cfRule type="cellIs" operator="notEqual" dxfId="35" priority="36">
      <formula>Round(I14+Sum(K14:L14),0)</formula>
    </cfRule>
  </conditionalFormatting>
  <conditionalFormatting sqref="C15">
    <cfRule type="cellIs" operator="notEqual" dxfId="36" priority="37">
      <formula>Round(D15+Sum(F15:G15),0)</formula>
    </cfRule>
  </conditionalFormatting>
  <conditionalFormatting sqref="H15">
    <cfRule type="cellIs" operator="notEqual" dxfId="37" priority="38">
      <formula>Round(I15+Sum(K15:L15),0)</formula>
    </cfRule>
  </conditionalFormatting>
  <conditionalFormatting sqref="C16">
    <cfRule type="cellIs" operator="notEqual" dxfId="38" priority="39">
      <formula>Round(D16+Sum(F16:G16),0)</formula>
    </cfRule>
  </conditionalFormatting>
  <conditionalFormatting sqref="H16">
    <cfRule type="cellIs" operator="notEqual" dxfId="39" priority="40">
      <formula>Round(I16+Sum(K16:L16),0)</formula>
    </cfRule>
  </conditionalFormatting>
  <conditionalFormatting sqref="C17">
    <cfRule type="cellIs" operator="notEqual" dxfId="40" priority="41">
      <formula>Round(D17+Sum(F17:G17),0)</formula>
    </cfRule>
  </conditionalFormatting>
  <conditionalFormatting sqref="H17">
    <cfRule type="cellIs" operator="notEqual" dxfId="41" priority="42">
      <formula>Round(I17+Sum(K17:L17),0)</formula>
    </cfRule>
  </conditionalFormatting>
  <conditionalFormatting sqref="C18">
    <cfRule type="cellIs" operator="notEqual" dxfId="42" priority="43">
      <formula>Round(D18+Sum(F18:G18),0)</formula>
    </cfRule>
  </conditionalFormatting>
  <conditionalFormatting sqref="H18">
    <cfRule type="cellIs" operator="notEqual" dxfId="43" priority="44">
      <formula>Round(I18+Sum(K18:L18),0)</formula>
    </cfRule>
  </conditionalFormatting>
  <conditionalFormatting sqref="C19">
    <cfRule type="cellIs" operator="notEqual" dxfId="44" priority="45">
      <formula>Round(D19+Sum(F19:G19),0)</formula>
    </cfRule>
  </conditionalFormatting>
  <conditionalFormatting sqref="H19">
    <cfRule type="cellIs" operator="notEqual" dxfId="45" priority="46">
      <formula>Round(I19+Sum(K19:L19),0)</formula>
    </cfRule>
  </conditionalFormatting>
  <conditionalFormatting sqref="C20">
    <cfRule type="cellIs" operator="notEqual" dxfId="46" priority="47">
      <formula>Round(Sum(C21:C258),0)</formula>
    </cfRule>
  </conditionalFormatting>
  <conditionalFormatting sqref="C20">
    <cfRule type="cellIs" operator="notEqual" dxfId="47" priority="48">
      <formula>Round(D20+Sum(F20:G20),0)</formula>
    </cfRule>
  </conditionalFormatting>
  <conditionalFormatting sqref="D20">
    <cfRule type="cellIs" operator="notEqual" dxfId="48" priority="49">
      <formula>Round(Sum(D21:D258),0)</formula>
    </cfRule>
  </conditionalFormatting>
  <conditionalFormatting sqref="E20">
    <cfRule type="cellIs" operator="notEqual" dxfId="49" priority="50">
      <formula>Round(Sum(E21:E258),0)</formula>
    </cfRule>
  </conditionalFormatting>
  <conditionalFormatting sqref="F20">
    <cfRule type="cellIs" operator="notEqual" dxfId="50" priority="51">
      <formula>Round(Sum(F21:F258),0)</formula>
    </cfRule>
  </conditionalFormatting>
  <conditionalFormatting sqref="G20">
    <cfRule type="cellIs" operator="notEqual" dxfId="51" priority="52">
      <formula>Round(Sum(G21:G258),0)</formula>
    </cfRule>
  </conditionalFormatting>
  <conditionalFormatting sqref="H20">
    <cfRule type="cellIs" operator="notEqual" dxfId="52" priority="53">
      <formula>Round(Sum(H21:H258),0)</formula>
    </cfRule>
  </conditionalFormatting>
  <conditionalFormatting sqref="H20">
    <cfRule type="cellIs" operator="notEqual" dxfId="53" priority="54">
      <formula>Round(I20+Sum(K20:L20),0)</formula>
    </cfRule>
  </conditionalFormatting>
  <conditionalFormatting sqref="I20">
    <cfRule type="cellIs" operator="notEqual" dxfId="54" priority="55">
      <formula>Round(Sum(I21:I258),0)</formula>
    </cfRule>
  </conditionalFormatting>
  <conditionalFormatting sqref="J20">
    <cfRule type="cellIs" operator="notEqual" dxfId="55" priority="56">
      <formula>Round(Sum(J21:J258),0)</formula>
    </cfRule>
  </conditionalFormatting>
  <conditionalFormatting sqref="K20">
    <cfRule type="cellIs" operator="notEqual" dxfId="56" priority="57">
      <formula>Round(Sum(K21:K258),0)</formula>
    </cfRule>
  </conditionalFormatting>
  <conditionalFormatting sqref="L20">
    <cfRule type="cellIs" operator="notEqual" dxfId="57" priority="58">
      <formula>Round(Sum(L21:L258),0)</formula>
    </cfRule>
  </conditionalFormatting>
  <conditionalFormatting sqref="C21">
    <cfRule type="cellIs" operator="notEqual" dxfId="58" priority="59">
      <formula>Round(D21+Sum(F21:G21),0)</formula>
    </cfRule>
  </conditionalFormatting>
  <conditionalFormatting sqref="H21">
    <cfRule type="cellIs" operator="notEqual" dxfId="59" priority="60">
      <formula>Round(I21+Sum(K21:L21),0)</formula>
    </cfRule>
  </conditionalFormatting>
  <conditionalFormatting sqref="C22">
    <cfRule type="cellIs" operator="notEqual" dxfId="60" priority="61">
      <formula>Round(D22+Sum(F22:G22),0)</formula>
    </cfRule>
  </conditionalFormatting>
  <conditionalFormatting sqref="H22">
    <cfRule type="cellIs" operator="notEqual" dxfId="61" priority="62">
      <formula>Round(I22+Sum(K22:L22),0)</formula>
    </cfRule>
  </conditionalFormatting>
  <conditionalFormatting sqref="C23">
    <cfRule type="cellIs" operator="notEqual" dxfId="62" priority="63">
      <formula>Round(D23+Sum(F23:G23),0)</formula>
    </cfRule>
  </conditionalFormatting>
  <conditionalFormatting sqref="H23">
    <cfRule type="cellIs" operator="notEqual" dxfId="63" priority="64">
      <formula>Round(I23+Sum(K23:L23),0)</formula>
    </cfRule>
  </conditionalFormatting>
  <conditionalFormatting sqref="C24">
    <cfRule type="cellIs" operator="notEqual" dxfId="64" priority="65">
      <formula>Round(D24+Sum(F24:G24),0)</formula>
    </cfRule>
  </conditionalFormatting>
  <conditionalFormatting sqref="H24">
    <cfRule type="cellIs" operator="notEqual" dxfId="65" priority="66">
      <formula>Round(I24+Sum(K24:L24),0)</formula>
    </cfRule>
  </conditionalFormatting>
  <conditionalFormatting sqref="C25">
    <cfRule type="cellIs" operator="notEqual" dxfId="66" priority="67">
      <formula>Round(D25+Sum(F25:G25),0)</formula>
    </cfRule>
  </conditionalFormatting>
  <conditionalFormatting sqref="H25">
    <cfRule type="cellIs" operator="notEqual" dxfId="67" priority="68">
      <formula>Round(I25+Sum(K25:L25),0)</formula>
    </cfRule>
  </conditionalFormatting>
  <conditionalFormatting sqref="C26">
    <cfRule type="cellIs" operator="notEqual" dxfId="68" priority="69">
      <formula>Round(D26+Sum(F26:G26),0)</formula>
    </cfRule>
  </conditionalFormatting>
  <conditionalFormatting sqref="H26">
    <cfRule type="cellIs" operator="notEqual" dxfId="69" priority="70">
      <formula>Round(I26+Sum(K26:L26),0)</formula>
    </cfRule>
  </conditionalFormatting>
  <conditionalFormatting sqref="C27">
    <cfRule type="cellIs" operator="notEqual" dxfId="70" priority="71">
      <formula>Round(D27+Sum(F27:G27),0)</formula>
    </cfRule>
  </conditionalFormatting>
  <conditionalFormatting sqref="H27">
    <cfRule type="cellIs" operator="notEqual" dxfId="71" priority="72">
      <formula>Round(I27+Sum(K27:L27),0)</formula>
    </cfRule>
  </conditionalFormatting>
  <conditionalFormatting sqref="C28">
    <cfRule type="cellIs" operator="notEqual" dxfId="72" priority="73">
      <formula>Round(D28+Sum(F28:G28),0)</formula>
    </cfRule>
  </conditionalFormatting>
  <conditionalFormatting sqref="H28">
    <cfRule type="cellIs" operator="notEqual" dxfId="73" priority="74">
      <formula>Round(I28+Sum(K28:L28),0)</formula>
    </cfRule>
  </conditionalFormatting>
  <conditionalFormatting sqref="C29">
    <cfRule type="cellIs" operator="notEqual" dxfId="74" priority="75">
      <formula>Round(D29+Sum(F29:G29),0)</formula>
    </cfRule>
  </conditionalFormatting>
  <conditionalFormatting sqref="H29">
    <cfRule type="cellIs" operator="notEqual" dxfId="75" priority="76">
      <formula>Round(I29+Sum(K29:L29),0)</formula>
    </cfRule>
  </conditionalFormatting>
  <conditionalFormatting sqref="C30">
    <cfRule type="cellIs" operator="notEqual" dxfId="76" priority="77">
      <formula>Round(D30+Sum(F30:G30),0)</formula>
    </cfRule>
  </conditionalFormatting>
  <conditionalFormatting sqref="H30">
    <cfRule type="cellIs" operator="notEqual" dxfId="77" priority="78">
      <formula>Round(I30+Sum(K30:L30),0)</formula>
    </cfRule>
  </conditionalFormatting>
  <conditionalFormatting sqref="C31">
    <cfRule type="cellIs" operator="notEqual" dxfId="78" priority="79">
      <formula>Round(D31+Sum(F31:G31),0)</formula>
    </cfRule>
  </conditionalFormatting>
  <conditionalFormatting sqref="H31">
    <cfRule type="cellIs" operator="notEqual" dxfId="79" priority="80">
      <formula>Round(I31+Sum(K31:L31),0)</formula>
    </cfRule>
  </conditionalFormatting>
  <conditionalFormatting sqref="C32">
    <cfRule type="cellIs" operator="notEqual" dxfId="80" priority="81">
      <formula>Round(D32+Sum(F32:G32),0)</formula>
    </cfRule>
  </conditionalFormatting>
  <conditionalFormatting sqref="H32">
    <cfRule type="cellIs" operator="notEqual" dxfId="81" priority="82">
      <formula>Round(I32+Sum(K32:L32),0)</formula>
    </cfRule>
  </conditionalFormatting>
  <conditionalFormatting sqref="C33">
    <cfRule type="cellIs" operator="notEqual" dxfId="82" priority="83">
      <formula>Round(D33+Sum(F33:G33),0)</formula>
    </cfRule>
  </conditionalFormatting>
  <conditionalFormatting sqref="H33">
    <cfRule type="cellIs" operator="notEqual" dxfId="83" priority="84">
      <formula>Round(I33+Sum(K33:L33),0)</formula>
    </cfRule>
  </conditionalFormatting>
  <conditionalFormatting sqref="C34">
    <cfRule type="cellIs" operator="notEqual" dxfId="84" priority="85">
      <formula>Round(D34+Sum(F34:G34),0)</formula>
    </cfRule>
  </conditionalFormatting>
  <conditionalFormatting sqref="H34">
    <cfRule type="cellIs" operator="notEqual" dxfId="85" priority="86">
      <formula>Round(I34+Sum(K34:L34),0)</formula>
    </cfRule>
  </conditionalFormatting>
  <conditionalFormatting sqref="C35">
    <cfRule type="cellIs" operator="notEqual" dxfId="86" priority="87">
      <formula>Round(D35+Sum(F35:G35),0)</formula>
    </cfRule>
  </conditionalFormatting>
  <conditionalFormatting sqref="H35">
    <cfRule type="cellIs" operator="notEqual" dxfId="87" priority="88">
      <formula>Round(I35+Sum(K35:L35),0)</formula>
    </cfRule>
  </conditionalFormatting>
  <conditionalFormatting sqref="C36">
    <cfRule type="cellIs" operator="notEqual" dxfId="88" priority="89">
      <formula>Round(D36+Sum(F36:G36),0)</formula>
    </cfRule>
  </conditionalFormatting>
  <conditionalFormatting sqref="H36">
    <cfRule type="cellIs" operator="notEqual" dxfId="89" priority="90">
      <formula>Round(I36+Sum(K36:L36),0)</formula>
    </cfRule>
  </conditionalFormatting>
  <conditionalFormatting sqref="C37">
    <cfRule type="cellIs" operator="notEqual" dxfId="90" priority="91">
      <formula>Round(D37+Sum(F37:G37),0)</formula>
    </cfRule>
  </conditionalFormatting>
  <conditionalFormatting sqref="H37">
    <cfRule type="cellIs" operator="notEqual" dxfId="91" priority="92">
      <formula>Round(I37+Sum(K37:L37),0)</formula>
    </cfRule>
  </conditionalFormatting>
  <conditionalFormatting sqref="C38">
    <cfRule type="cellIs" operator="notEqual" dxfId="92" priority="93">
      <formula>Round(D38+Sum(F38:G38),0)</formula>
    </cfRule>
  </conditionalFormatting>
  <conditionalFormatting sqref="H38">
    <cfRule type="cellIs" operator="notEqual" dxfId="93" priority="94">
      <formula>Round(I38+Sum(K38:L38),0)</formula>
    </cfRule>
  </conditionalFormatting>
  <conditionalFormatting sqref="C39">
    <cfRule type="cellIs" operator="notEqual" dxfId="94" priority="95">
      <formula>Round(D39+Sum(F39:G39),0)</formula>
    </cfRule>
  </conditionalFormatting>
  <conditionalFormatting sqref="H39">
    <cfRule type="cellIs" operator="notEqual" dxfId="95" priority="96">
      <formula>Round(I39+Sum(K39:L39),0)</formula>
    </cfRule>
  </conditionalFormatting>
  <conditionalFormatting sqref="C40">
    <cfRule type="cellIs" operator="notEqual" dxfId="96" priority="97">
      <formula>Round(D40+Sum(F40:G40),0)</formula>
    </cfRule>
  </conditionalFormatting>
  <conditionalFormatting sqref="H40">
    <cfRule type="cellIs" operator="notEqual" dxfId="97" priority="98">
      <formula>Round(I40+Sum(K40:L40),0)</formula>
    </cfRule>
  </conditionalFormatting>
  <conditionalFormatting sqref="C41">
    <cfRule type="cellIs" operator="notEqual" dxfId="98" priority="99">
      <formula>Round(D41+Sum(F41:G41),0)</formula>
    </cfRule>
  </conditionalFormatting>
  <conditionalFormatting sqref="H41">
    <cfRule type="cellIs" operator="notEqual" dxfId="99" priority="100">
      <formula>Round(I41+Sum(K41:L41),0)</formula>
    </cfRule>
  </conditionalFormatting>
  <conditionalFormatting sqref="C42">
    <cfRule type="cellIs" operator="notEqual" dxfId="100" priority="101">
      <formula>Round(D42+Sum(F42:G42),0)</formula>
    </cfRule>
  </conditionalFormatting>
  <conditionalFormatting sqref="H42">
    <cfRule type="cellIs" operator="notEqual" dxfId="101" priority="102">
      <formula>Round(I42+Sum(K42:L42),0)</formula>
    </cfRule>
  </conditionalFormatting>
  <conditionalFormatting sqref="C43">
    <cfRule type="cellIs" operator="notEqual" dxfId="102" priority="103">
      <formula>Round(D43+Sum(F43:G43),0)</formula>
    </cfRule>
  </conditionalFormatting>
  <conditionalFormatting sqref="H43">
    <cfRule type="cellIs" operator="notEqual" dxfId="103" priority="104">
      <formula>Round(I43+Sum(K43:L43),0)</formula>
    </cfRule>
  </conditionalFormatting>
  <conditionalFormatting sqref="C44">
    <cfRule type="cellIs" operator="notEqual" dxfId="104" priority="105">
      <formula>Round(D44+Sum(F44:G44),0)</formula>
    </cfRule>
  </conditionalFormatting>
  <conditionalFormatting sqref="H44">
    <cfRule type="cellIs" operator="notEqual" dxfId="105" priority="106">
      <formula>Round(I44+Sum(K44:L44),0)</formula>
    </cfRule>
  </conditionalFormatting>
  <conditionalFormatting sqref="C45">
    <cfRule type="cellIs" operator="notEqual" dxfId="106" priority="107">
      <formula>Round(D45+Sum(F45:G45),0)</formula>
    </cfRule>
  </conditionalFormatting>
  <conditionalFormatting sqref="H45">
    <cfRule type="cellIs" operator="notEqual" dxfId="107" priority="108">
      <formula>Round(I45+Sum(K45:L45),0)</formula>
    </cfRule>
  </conditionalFormatting>
  <conditionalFormatting sqref="C46">
    <cfRule type="cellIs" operator="notEqual" dxfId="108" priority="109">
      <formula>Round(D46+Sum(F46:G46),0)</formula>
    </cfRule>
  </conditionalFormatting>
  <conditionalFormatting sqref="H46">
    <cfRule type="cellIs" operator="notEqual" dxfId="109" priority="110">
      <formula>Round(I46+Sum(K46:L46),0)</formula>
    </cfRule>
  </conditionalFormatting>
  <conditionalFormatting sqref="C47">
    <cfRule type="cellIs" operator="notEqual" dxfId="110" priority="111">
      <formula>Round(D47+Sum(F47:G47),0)</formula>
    </cfRule>
  </conditionalFormatting>
  <conditionalFormatting sqref="H47">
    <cfRule type="cellIs" operator="notEqual" dxfId="111" priority="112">
      <formula>Round(I47+Sum(K47:L47),0)</formula>
    </cfRule>
  </conditionalFormatting>
  <conditionalFormatting sqref="C48">
    <cfRule type="cellIs" operator="notEqual" dxfId="112" priority="113">
      <formula>Round(D48+Sum(F48:G48),0)</formula>
    </cfRule>
  </conditionalFormatting>
  <conditionalFormatting sqref="H48">
    <cfRule type="cellIs" operator="notEqual" dxfId="113" priority="114">
      <formula>Round(I48+Sum(K48:L48),0)</formula>
    </cfRule>
  </conditionalFormatting>
  <conditionalFormatting sqref="C49">
    <cfRule type="cellIs" operator="notEqual" dxfId="114" priority="115">
      <formula>Round(D49+Sum(F49:G49),0)</formula>
    </cfRule>
  </conditionalFormatting>
  <conditionalFormatting sqref="H49">
    <cfRule type="cellIs" operator="notEqual" dxfId="115" priority="116">
      <formula>Round(I49+Sum(K49:L49),0)</formula>
    </cfRule>
  </conditionalFormatting>
  <conditionalFormatting sqref="C50">
    <cfRule type="cellIs" operator="notEqual" dxfId="116" priority="117">
      <formula>Round(D50+Sum(F50:G50),0)</formula>
    </cfRule>
  </conditionalFormatting>
  <conditionalFormatting sqref="H50">
    <cfRule type="cellIs" operator="notEqual" dxfId="117" priority="118">
      <formula>Round(I50+Sum(K50:L50),0)</formula>
    </cfRule>
  </conditionalFormatting>
  <conditionalFormatting sqref="C51">
    <cfRule type="cellIs" operator="notEqual" dxfId="118" priority="119">
      <formula>Round(D51+Sum(F51:G51),0)</formula>
    </cfRule>
  </conditionalFormatting>
  <conditionalFormatting sqref="H51">
    <cfRule type="cellIs" operator="notEqual" dxfId="119" priority="120">
      <formula>Round(I51+Sum(K51:L51),0)</formula>
    </cfRule>
  </conditionalFormatting>
  <conditionalFormatting sqref="C52">
    <cfRule type="cellIs" operator="notEqual" dxfId="120" priority="121">
      <formula>Round(D52+Sum(F52:G52),0)</formula>
    </cfRule>
  </conditionalFormatting>
  <conditionalFormatting sqref="H52">
    <cfRule type="cellIs" operator="notEqual" dxfId="121" priority="122">
      <formula>Round(I52+Sum(K52:L52),0)</formula>
    </cfRule>
  </conditionalFormatting>
  <conditionalFormatting sqref="C53">
    <cfRule type="cellIs" operator="notEqual" dxfId="122" priority="123">
      <formula>Round(D53+Sum(F53:G53),0)</formula>
    </cfRule>
  </conditionalFormatting>
  <conditionalFormatting sqref="H53">
    <cfRule type="cellIs" operator="notEqual" dxfId="123" priority="124">
      <formula>Round(I53+Sum(K53:L53),0)</formula>
    </cfRule>
  </conditionalFormatting>
  <conditionalFormatting sqref="C54">
    <cfRule type="cellIs" operator="notEqual" dxfId="124" priority="125">
      <formula>Round(D54+Sum(F54:G54),0)</formula>
    </cfRule>
  </conditionalFormatting>
  <conditionalFormatting sqref="H54">
    <cfRule type="cellIs" operator="notEqual" dxfId="125" priority="126">
      <formula>Round(I54+Sum(K54:L54),0)</formula>
    </cfRule>
  </conditionalFormatting>
  <conditionalFormatting sqref="C55">
    <cfRule type="cellIs" operator="notEqual" dxfId="126" priority="127">
      <formula>Round(D55+Sum(F55:G55),0)</formula>
    </cfRule>
  </conditionalFormatting>
  <conditionalFormatting sqref="H55">
    <cfRule type="cellIs" operator="notEqual" dxfId="127" priority="128">
      <formula>Round(I55+Sum(K55:L55),0)</formula>
    </cfRule>
  </conditionalFormatting>
  <conditionalFormatting sqref="C56">
    <cfRule type="cellIs" operator="notEqual" dxfId="128" priority="129">
      <formula>Round(D56+Sum(F56:G56),0)</formula>
    </cfRule>
  </conditionalFormatting>
  <conditionalFormatting sqref="H56">
    <cfRule type="cellIs" operator="notEqual" dxfId="129" priority="130">
      <formula>Round(I56+Sum(K56:L56),0)</formula>
    </cfRule>
  </conditionalFormatting>
  <conditionalFormatting sqref="C57">
    <cfRule type="cellIs" operator="notEqual" dxfId="130" priority="131">
      <formula>Round(D57+Sum(F57:G57),0)</formula>
    </cfRule>
  </conditionalFormatting>
  <conditionalFormatting sqref="H57">
    <cfRule type="cellIs" operator="notEqual" dxfId="131" priority="132">
      <formula>Round(I57+Sum(K57:L57),0)</formula>
    </cfRule>
  </conditionalFormatting>
  <conditionalFormatting sqref="C58">
    <cfRule type="cellIs" operator="notEqual" dxfId="132" priority="133">
      <formula>Round(D58+Sum(F58:G58),0)</formula>
    </cfRule>
  </conditionalFormatting>
  <conditionalFormatting sqref="H58">
    <cfRule type="cellIs" operator="notEqual" dxfId="133" priority="134">
      <formula>Round(I58+Sum(K58:L58),0)</formula>
    </cfRule>
  </conditionalFormatting>
  <conditionalFormatting sqref="C59">
    <cfRule type="cellIs" operator="notEqual" dxfId="134" priority="135">
      <formula>Round(D59+Sum(F59:G59),0)</formula>
    </cfRule>
  </conditionalFormatting>
  <conditionalFormatting sqref="H59">
    <cfRule type="cellIs" operator="notEqual" dxfId="135" priority="136">
      <formula>Round(I59+Sum(K59:L59),0)</formula>
    </cfRule>
  </conditionalFormatting>
  <conditionalFormatting sqref="C60">
    <cfRule type="cellIs" operator="notEqual" dxfId="136" priority="137">
      <formula>Round(D60+Sum(F60:G60),0)</formula>
    </cfRule>
  </conditionalFormatting>
  <conditionalFormatting sqref="H60">
    <cfRule type="cellIs" operator="notEqual" dxfId="137" priority="138">
      <formula>Round(I60+Sum(K60:L60),0)</formula>
    </cfRule>
  </conditionalFormatting>
  <conditionalFormatting sqref="C61">
    <cfRule type="cellIs" operator="notEqual" dxfId="138" priority="139">
      <formula>Round(D61+Sum(F61:G61),0)</formula>
    </cfRule>
  </conditionalFormatting>
  <conditionalFormatting sqref="H61">
    <cfRule type="cellIs" operator="notEqual" dxfId="139" priority="140">
      <formula>Round(I61+Sum(K61:L61),0)</formula>
    </cfRule>
  </conditionalFormatting>
  <conditionalFormatting sqref="C62">
    <cfRule type="cellIs" operator="notEqual" dxfId="140" priority="141">
      <formula>Round(D62+Sum(F62:G62),0)</formula>
    </cfRule>
  </conditionalFormatting>
  <conditionalFormatting sqref="H62">
    <cfRule type="cellIs" operator="notEqual" dxfId="141" priority="142">
      <formula>Round(I62+Sum(K62:L62),0)</formula>
    </cfRule>
  </conditionalFormatting>
  <conditionalFormatting sqref="C63">
    <cfRule type="cellIs" operator="notEqual" dxfId="142" priority="143">
      <formula>Round(D63+Sum(F63:G63),0)</formula>
    </cfRule>
  </conditionalFormatting>
  <conditionalFormatting sqref="H63">
    <cfRule type="cellIs" operator="notEqual" dxfId="143" priority="144">
      <formula>Round(I63+Sum(K63:L63),0)</formula>
    </cfRule>
  </conditionalFormatting>
  <conditionalFormatting sqref="C64">
    <cfRule type="cellIs" operator="notEqual" dxfId="144" priority="145">
      <formula>Round(D64+Sum(F64:G64),0)</formula>
    </cfRule>
  </conditionalFormatting>
  <conditionalFormatting sqref="H64">
    <cfRule type="cellIs" operator="notEqual" dxfId="145" priority="146">
      <formula>Round(I64+Sum(K64:L64),0)</formula>
    </cfRule>
  </conditionalFormatting>
  <conditionalFormatting sqref="C65">
    <cfRule type="cellIs" operator="notEqual" dxfId="146" priority="147">
      <formula>Round(D65+Sum(F65:G65),0)</formula>
    </cfRule>
  </conditionalFormatting>
  <conditionalFormatting sqref="H65">
    <cfRule type="cellIs" operator="notEqual" dxfId="147" priority="148">
      <formula>Round(I65+Sum(K65:L65),0)</formula>
    </cfRule>
  </conditionalFormatting>
  <conditionalFormatting sqref="C66">
    <cfRule type="cellIs" operator="notEqual" dxfId="148" priority="149">
      <formula>Round(D66+Sum(F66:G66),0)</formula>
    </cfRule>
  </conditionalFormatting>
  <conditionalFormatting sqref="H66">
    <cfRule type="cellIs" operator="notEqual" dxfId="149" priority="150">
      <formula>Round(I66+Sum(K66:L66),0)</formula>
    </cfRule>
  </conditionalFormatting>
  <conditionalFormatting sqref="C67">
    <cfRule type="cellIs" operator="notEqual" dxfId="150" priority="151">
      <formula>Round(D67+Sum(F67:G67),0)</formula>
    </cfRule>
  </conditionalFormatting>
  <conditionalFormatting sqref="H67">
    <cfRule type="cellIs" operator="notEqual" dxfId="151" priority="152">
      <formula>Round(I67+Sum(K67:L67),0)</formula>
    </cfRule>
  </conditionalFormatting>
  <conditionalFormatting sqref="C68">
    <cfRule type="cellIs" operator="notEqual" dxfId="152" priority="153">
      <formula>Round(D68+Sum(F68:G68),0)</formula>
    </cfRule>
  </conditionalFormatting>
  <conditionalFormatting sqref="H68">
    <cfRule type="cellIs" operator="notEqual" dxfId="153" priority="154">
      <formula>Round(I68+Sum(K68:L68),0)</formula>
    </cfRule>
  </conditionalFormatting>
  <conditionalFormatting sqref="C69">
    <cfRule type="cellIs" operator="notEqual" dxfId="154" priority="155">
      <formula>Round(D69+Sum(F69:G69),0)</formula>
    </cfRule>
  </conditionalFormatting>
  <conditionalFormatting sqref="H69">
    <cfRule type="cellIs" operator="notEqual" dxfId="155" priority="156">
      <formula>Round(I69+Sum(K69:L69),0)</formula>
    </cfRule>
  </conditionalFormatting>
  <conditionalFormatting sqref="C70">
    <cfRule type="cellIs" operator="notEqual" dxfId="156" priority="157">
      <formula>Round(D70+Sum(F70:G70),0)</formula>
    </cfRule>
  </conditionalFormatting>
  <conditionalFormatting sqref="H70">
    <cfRule type="cellIs" operator="notEqual" dxfId="157" priority="158">
      <formula>Round(I70+Sum(K70:L70),0)</formula>
    </cfRule>
  </conditionalFormatting>
  <conditionalFormatting sqref="C71">
    <cfRule type="cellIs" operator="notEqual" dxfId="158" priority="159">
      <formula>Round(D71+Sum(F71:G71),0)</formula>
    </cfRule>
  </conditionalFormatting>
  <conditionalFormatting sqref="H71">
    <cfRule type="cellIs" operator="notEqual" dxfId="159" priority="160">
      <formula>Round(I71+Sum(K71:L71),0)</formula>
    </cfRule>
  </conditionalFormatting>
  <conditionalFormatting sqref="C72">
    <cfRule type="cellIs" operator="notEqual" dxfId="160" priority="161">
      <formula>Round(D72+Sum(F72:G72),0)</formula>
    </cfRule>
  </conditionalFormatting>
  <conditionalFormatting sqref="H72">
    <cfRule type="cellIs" operator="notEqual" dxfId="161" priority="162">
      <formula>Round(I72+Sum(K72:L72),0)</formula>
    </cfRule>
  </conditionalFormatting>
  <conditionalFormatting sqref="C73">
    <cfRule type="cellIs" operator="notEqual" dxfId="162" priority="163">
      <formula>Round(D73+Sum(F73:G73),0)</formula>
    </cfRule>
  </conditionalFormatting>
  <conditionalFormatting sqref="H73">
    <cfRule type="cellIs" operator="notEqual" dxfId="163" priority="164">
      <formula>Round(I73+Sum(K73:L73),0)</formula>
    </cfRule>
  </conditionalFormatting>
  <conditionalFormatting sqref="C74">
    <cfRule type="cellIs" operator="notEqual" dxfId="164" priority="165">
      <formula>Round(D74+Sum(F74:G74),0)</formula>
    </cfRule>
  </conditionalFormatting>
  <conditionalFormatting sqref="H74">
    <cfRule type="cellIs" operator="notEqual" dxfId="165" priority="166">
      <formula>Round(I74+Sum(K74:L74),0)</formula>
    </cfRule>
  </conditionalFormatting>
  <conditionalFormatting sqref="C75">
    <cfRule type="cellIs" operator="notEqual" dxfId="166" priority="167">
      <formula>Round(D75+Sum(F75:G75),0)</formula>
    </cfRule>
  </conditionalFormatting>
  <conditionalFormatting sqref="H75">
    <cfRule type="cellIs" operator="notEqual" dxfId="167" priority="168">
      <formula>Round(I75+Sum(K75:L75),0)</formula>
    </cfRule>
  </conditionalFormatting>
  <conditionalFormatting sqref="C76">
    <cfRule type="cellIs" operator="notEqual" dxfId="168" priority="169">
      <formula>Round(D76+Sum(F76:G76),0)</formula>
    </cfRule>
  </conditionalFormatting>
  <conditionalFormatting sqref="H76">
    <cfRule type="cellIs" operator="notEqual" dxfId="169" priority="170">
      <formula>Round(I76+Sum(K76:L76),0)</formula>
    </cfRule>
  </conditionalFormatting>
  <conditionalFormatting sqref="C77">
    <cfRule type="cellIs" operator="notEqual" dxfId="170" priority="171">
      <formula>Round(D77+Sum(F77:G77),0)</formula>
    </cfRule>
  </conditionalFormatting>
  <conditionalFormatting sqref="H77">
    <cfRule type="cellIs" operator="notEqual" dxfId="171" priority="172">
      <formula>Round(I77+Sum(K77:L77),0)</formula>
    </cfRule>
  </conditionalFormatting>
  <conditionalFormatting sqref="C78">
    <cfRule type="cellIs" operator="notEqual" dxfId="172" priority="173">
      <formula>Round(D78+Sum(F78:G78),0)</formula>
    </cfRule>
  </conditionalFormatting>
  <conditionalFormatting sqref="H78">
    <cfRule type="cellIs" operator="notEqual" dxfId="173" priority="174">
      <formula>Round(I78+Sum(K78:L78),0)</formula>
    </cfRule>
  </conditionalFormatting>
  <conditionalFormatting sqref="C79">
    <cfRule type="cellIs" operator="notEqual" dxfId="174" priority="175">
      <formula>Round(D79+Sum(F79:G79),0)</formula>
    </cfRule>
  </conditionalFormatting>
  <conditionalFormatting sqref="H79">
    <cfRule type="cellIs" operator="notEqual" dxfId="175" priority="176">
      <formula>Round(I79+Sum(K79:L79),0)</formula>
    </cfRule>
  </conditionalFormatting>
  <conditionalFormatting sqref="C80">
    <cfRule type="cellIs" operator="notEqual" dxfId="176" priority="177">
      <formula>Round(D80+Sum(F80:G80),0)</formula>
    </cfRule>
  </conditionalFormatting>
  <conditionalFormatting sqref="H80">
    <cfRule type="cellIs" operator="notEqual" dxfId="177" priority="178">
      <formula>Round(I80+Sum(K80:L80),0)</formula>
    </cfRule>
  </conditionalFormatting>
  <conditionalFormatting sqref="C81">
    <cfRule type="cellIs" operator="notEqual" dxfId="178" priority="179">
      <formula>Round(D81+Sum(F81:G81),0)</formula>
    </cfRule>
  </conditionalFormatting>
  <conditionalFormatting sqref="H81">
    <cfRule type="cellIs" operator="notEqual" dxfId="179" priority="180">
      <formula>Round(I81+Sum(K81:L81),0)</formula>
    </cfRule>
  </conditionalFormatting>
  <conditionalFormatting sqref="C82">
    <cfRule type="cellIs" operator="notEqual" dxfId="180" priority="181">
      <formula>Round(D82+Sum(F82:G82),0)</formula>
    </cfRule>
  </conditionalFormatting>
  <conditionalFormatting sqref="H82">
    <cfRule type="cellIs" operator="notEqual" dxfId="181" priority="182">
      <formula>Round(I82+Sum(K82:L82),0)</formula>
    </cfRule>
  </conditionalFormatting>
  <conditionalFormatting sqref="C83">
    <cfRule type="cellIs" operator="notEqual" dxfId="182" priority="183">
      <formula>Round(D83+Sum(F83:G83),0)</formula>
    </cfRule>
  </conditionalFormatting>
  <conditionalFormatting sqref="H83">
    <cfRule type="cellIs" operator="notEqual" dxfId="183" priority="184">
      <formula>Round(I83+Sum(K83:L83),0)</formula>
    </cfRule>
  </conditionalFormatting>
  <conditionalFormatting sqref="C84">
    <cfRule type="cellIs" operator="notEqual" dxfId="184" priority="185">
      <formula>Round(D84+Sum(F84:G84),0)</formula>
    </cfRule>
  </conditionalFormatting>
  <conditionalFormatting sqref="H84">
    <cfRule type="cellIs" operator="notEqual" dxfId="185" priority="186">
      <formula>Round(I84+Sum(K84:L84),0)</formula>
    </cfRule>
  </conditionalFormatting>
  <conditionalFormatting sqref="C85">
    <cfRule type="cellIs" operator="notEqual" dxfId="186" priority="187">
      <formula>Round(D85+Sum(F85:G85),0)</formula>
    </cfRule>
  </conditionalFormatting>
  <conditionalFormatting sqref="H85">
    <cfRule type="cellIs" operator="notEqual" dxfId="187" priority="188">
      <formula>Round(I85+Sum(K85:L85),0)</formula>
    </cfRule>
  </conditionalFormatting>
  <conditionalFormatting sqref="C86">
    <cfRule type="cellIs" operator="notEqual" dxfId="188" priority="189">
      <formula>Round(D86+Sum(F86:G86),0)</formula>
    </cfRule>
  </conditionalFormatting>
  <conditionalFormatting sqref="H86">
    <cfRule type="cellIs" operator="notEqual" dxfId="189" priority="190">
      <formula>Round(I86+Sum(K86:L86),0)</formula>
    </cfRule>
  </conditionalFormatting>
  <conditionalFormatting sqref="C87">
    <cfRule type="cellIs" operator="notEqual" dxfId="190" priority="191">
      <formula>Round(D87+Sum(F87:G87),0)</formula>
    </cfRule>
  </conditionalFormatting>
  <conditionalFormatting sqref="H87">
    <cfRule type="cellIs" operator="notEqual" dxfId="191" priority="192">
      <formula>Round(I87+Sum(K87:L87),0)</formula>
    </cfRule>
  </conditionalFormatting>
  <conditionalFormatting sqref="C88">
    <cfRule type="cellIs" operator="notEqual" dxfId="192" priority="193">
      <formula>Round(D88+Sum(F88:G88),0)</formula>
    </cfRule>
  </conditionalFormatting>
  <conditionalFormatting sqref="H88">
    <cfRule type="cellIs" operator="notEqual" dxfId="193" priority="194">
      <formula>Round(I88+Sum(K88:L88),0)</formula>
    </cfRule>
  </conditionalFormatting>
  <conditionalFormatting sqref="C89">
    <cfRule type="cellIs" operator="notEqual" dxfId="194" priority="195">
      <formula>Round(D89+Sum(F89:G89),0)</formula>
    </cfRule>
  </conditionalFormatting>
  <conditionalFormatting sqref="H89">
    <cfRule type="cellIs" operator="notEqual" dxfId="195" priority="196">
      <formula>Round(I89+Sum(K89:L89),0)</formula>
    </cfRule>
  </conditionalFormatting>
  <conditionalFormatting sqref="C90">
    <cfRule type="cellIs" operator="notEqual" dxfId="196" priority="197">
      <formula>Round(D90+Sum(F90:G90),0)</formula>
    </cfRule>
  </conditionalFormatting>
  <conditionalFormatting sqref="H90">
    <cfRule type="cellIs" operator="notEqual" dxfId="197" priority="198">
      <formula>Round(I90+Sum(K90:L90),0)</formula>
    </cfRule>
  </conditionalFormatting>
  <conditionalFormatting sqref="C91">
    <cfRule type="cellIs" operator="notEqual" dxfId="198" priority="199">
      <formula>Round(D91+Sum(F91:G91),0)</formula>
    </cfRule>
  </conditionalFormatting>
  <conditionalFormatting sqref="H91">
    <cfRule type="cellIs" operator="notEqual" dxfId="199" priority="200">
      <formula>Round(I91+Sum(K91:L91),0)</formula>
    </cfRule>
  </conditionalFormatting>
  <conditionalFormatting sqref="C92">
    <cfRule type="cellIs" operator="notEqual" dxfId="200" priority="201">
      <formula>Round(D92+Sum(F92:G92),0)</formula>
    </cfRule>
  </conditionalFormatting>
  <conditionalFormatting sqref="H92">
    <cfRule type="cellIs" operator="notEqual" dxfId="201" priority="202">
      <formula>Round(I92+Sum(K92:L92),0)</formula>
    </cfRule>
  </conditionalFormatting>
  <conditionalFormatting sqref="C93">
    <cfRule type="cellIs" operator="notEqual" dxfId="202" priority="203">
      <formula>Round(D93+Sum(F93:G93),0)</formula>
    </cfRule>
  </conditionalFormatting>
  <conditionalFormatting sqref="H93">
    <cfRule type="cellIs" operator="notEqual" dxfId="203" priority="204">
      <formula>Round(I93+Sum(K93:L93),0)</formula>
    </cfRule>
  </conditionalFormatting>
  <conditionalFormatting sqref="C94">
    <cfRule type="cellIs" operator="notEqual" dxfId="204" priority="205">
      <formula>Round(D94+Sum(F94:G94),0)</formula>
    </cfRule>
  </conditionalFormatting>
  <conditionalFormatting sqref="H94">
    <cfRule type="cellIs" operator="notEqual" dxfId="205" priority="206">
      <formula>Round(I94+Sum(K94:L94),0)</formula>
    </cfRule>
  </conditionalFormatting>
  <conditionalFormatting sqref="C95">
    <cfRule type="cellIs" operator="notEqual" dxfId="206" priority="207">
      <formula>Round(D95+Sum(F95:G95),0)</formula>
    </cfRule>
  </conditionalFormatting>
  <conditionalFormatting sqref="H95">
    <cfRule type="cellIs" operator="notEqual" dxfId="207" priority="208">
      <formula>Round(I95+Sum(K95:L95),0)</formula>
    </cfRule>
  </conditionalFormatting>
  <conditionalFormatting sqref="C96">
    <cfRule type="cellIs" operator="notEqual" dxfId="208" priority="209">
      <formula>Round(D96+Sum(F96:G96),0)</formula>
    </cfRule>
  </conditionalFormatting>
  <conditionalFormatting sqref="H96">
    <cfRule type="cellIs" operator="notEqual" dxfId="209" priority="210">
      <formula>Round(I96+Sum(K96:L96),0)</formula>
    </cfRule>
  </conditionalFormatting>
  <conditionalFormatting sqref="C97">
    <cfRule type="cellIs" operator="notEqual" dxfId="210" priority="211">
      <formula>Round(D97+Sum(F97:G97),0)</formula>
    </cfRule>
  </conditionalFormatting>
  <conditionalFormatting sqref="H97">
    <cfRule type="cellIs" operator="notEqual" dxfId="211" priority="212">
      <formula>Round(I97+Sum(K97:L97),0)</formula>
    </cfRule>
  </conditionalFormatting>
  <conditionalFormatting sqref="C98">
    <cfRule type="cellIs" operator="notEqual" dxfId="212" priority="213">
      <formula>Round(D98+Sum(F98:G98),0)</formula>
    </cfRule>
  </conditionalFormatting>
  <conditionalFormatting sqref="H98">
    <cfRule type="cellIs" operator="notEqual" dxfId="213" priority="214">
      <formula>Round(I98+Sum(K98:L98),0)</formula>
    </cfRule>
  </conditionalFormatting>
  <conditionalFormatting sqref="C99">
    <cfRule type="cellIs" operator="notEqual" dxfId="214" priority="215">
      <formula>Round(D99+Sum(F99:G99),0)</formula>
    </cfRule>
  </conditionalFormatting>
  <conditionalFormatting sqref="H99">
    <cfRule type="cellIs" operator="notEqual" dxfId="215" priority="216">
      <formula>Round(I99+Sum(K99:L99),0)</formula>
    </cfRule>
  </conditionalFormatting>
  <conditionalFormatting sqref="C100">
    <cfRule type="cellIs" operator="notEqual" dxfId="216" priority="217">
      <formula>Round(D100+Sum(F100:G100),0)</formula>
    </cfRule>
  </conditionalFormatting>
  <conditionalFormatting sqref="H100">
    <cfRule type="cellIs" operator="notEqual" dxfId="217" priority="218">
      <formula>Round(I100+Sum(K100:L100),0)</formula>
    </cfRule>
  </conditionalFormatting>
  <conditionalFormatting sqref="C101">
    <cfRule type="cellIs" operator="notEqual" dxfId="218" priority="219">
      <formula>Round(D101+Sum(F101:G101),0)</formula>
    </cfRule>
  </conditionalFormatting>
  <conditionalFormatting sqref="H101">
    <cfRule type="cellIs" operator="notEqual" dxfId="219" priority="220">
      <formula>Round(I101+Sum(K101:L101),0)</formula>
    </cfRule>
  </conditionalFormatting>
  <conditionalFormatting sqref="C102">
    <cfRule type="cellIs" operator="notEqual" dxfId="220" priority="221">
      <formula>Round(D102+Sum(F102:G102),0)</formula>
    </cfRule>
  </conditionalFormatting>
  <conditionalFormatting sqref="H102">
    <cfRule type="cellIs" operator="notEqual" dxfId="221" priority="222">
      <formula>Round(I102+Sum(K102:L102),0)</formula>
    </cfRule>
  </conditionalFormatting>
  <conditionalFormatting sqref="C103">
    <cfRule type="cellIs" operator="notEqual" dxfId="222" priority="223">
      <formula>Round(D103+Sum(F103:G103),0)</formula>
    </cfRule>
  </conditionalFormatting>
  <conditionalFormatting sqref="H103">
    <cfRule type="cellIs" operator="notEqual" dxfId="223" priority="224">
      <formula>Round(I103+Sum(K103:L103),0)</formula>
    </cfRule>
  </conditionalFormatting>
  <conditionalFormatting sqref="C104">
    <cfRule type="cellIs" operator="notEqual" dxfId="224" priority="225">
      <formula>Round(D104+Sum(F104:G104),0)</formula>
    </cfRule>
  </conditionalFormatting>
  <conditionalFormatting sqref="H104">
    <cfRule type="cellIs" operator="notEqual" dxfId="225" priority="226">
      <formula>Round(I104+Sum(K104:L104),0)</formula>
    </cfRule>
  </conditionalFormatting>
  <conditionalFormatting sqref="C105">
    <cfRule type="cellIs" operator="notEqual" dxfId="226" priority="227">
      <formula>Round(D105+Sum(F105:G105),0)</formula>
    </cfRule>
  </conditionalFormatting>
  <conditionalFormatting sqref="H105">
    <cfRule type="cellIs" operator="notEqual" dxfId="227" priority="228">
      <formula>Round(I105+Sum(K105:L105),0)</formula>
    </cfRule>
  </conditionalFormatting>
  <conditionalFormatting sqref="C106">
    <cfRule type="cellIs" operator="notEqual" dxfId="228" priority="229">
      <formula>Round(D106+Sum(F106:G106),0)</formula>
    </cfRule>
  </conditionalFormatting>
  <conditionalFormatting sqref="H106">
    <cfRule type="cellIs" operator="notEqual" dxfId="229" priority="230">
      <formula>Round(I106+Sum(K106:L106),0)</formula>
    </cfRule>
  </conditionalFormatting>
  <conditionalFormatting sqref="C107">
    <cfRule type="cellIs" operator="notEqual" dxfId="230" priority="231">
      <formula>Round(D107+Sum(F107:G107),0)</formula>
    </cfRule>
  </conditionalFormatting>
  <conditionalFormatting sqref="H107">
    <cfRule type="cellIs" operator="notEqual" dxfId="231" priority="232">
      <formula>Round(I107+Sum(K107:L107),0)</formula>
    </cfRule>
  </conditionalFormatting>
  <conditionalFormatting sqref="C108">
    <cfRule type="cellIs" operator="notEqual" dxfId="232" priority="233">
      <formula>Round(D108+Sum(F108:G108),0)</formula>
    </cfRule>
  </conditionalFormatting>
  <conditionalFormatting sqref="H108">
    <cfRule type="cellIs" operator="notEqual" dxfId="233" priority="234">
      <formula>Round(I108+Sum(K108:L108),0)</formula>
    </cfRule>
  </conditionalFormatting>
  <conditionalFormatting sqref="C109">
    <cfRule type="cellIs" operator="notEqual" dxfId="234" priority="235">
      <formula>Round(D109+Sum(F109:G109),0)</formula>
    </cfRule>
  </conditionalFormatting>
  <conditionalFormatting sqref="H109">
    <cfRule type="cellIs" operator="notEqual" dxfId="235" priority="236">
      <formula>Round(I109+Sum(K109:L109),0)</formula>
    </cfRule>
  </conditionalFormatting>
  <conditionalFormatting sqref="C110">
    <cfRule type="cellIs" operator="notEqual" dxfId="236" priority="237">
      <formula>Round(D110+Sum(F110:G110),0)</formula>
    </cfRule>
  </conditionalFormatting>
  <conditionalFormatting sqref="H110">
    <cfRule type="cellIs" operator="notEqual" dxfId="237" priority="238">
      <formula>Round(I110+Sum(K110:L110),0)</formula>
    </cfRule>
  </conditionalFormatting>
  <conditionalFormatting sqref="C111">
    <cfRule type="cellIs" operator="notEqual" dxfId="238" priority="239">
      <formula>Round(D111+Sum(F111:G111),0)</formula>
    </cfRule>
  </conditionalFormatting>
  <conditionalFormatting sqref="H111">
    <cfRule type="cellIs" operator="notEqual" dxfId="239" priority="240">
      <formula>Round(I111+Sum(K111:L111),0)</formula>
    </cfRule>
  </conditionalFormatting>
  <conditionalFormatting sqref="C112">
    <cfRule type="cellIs" operator="notEqual" dxfId="240" priority="241">
      <formula>Round(D112+Sum(F112:G112),0)</formula>
    </cfRule>
  </conditionalFormatting>
  <conditionalFormatting sqref="H112">
    <cfRule type="cellIs" operator="notEqual" dxfId="241" priority="242">
      <formula>Round(I112+Sum(K112:L112),0)</formula>
    </cfRule>
  </conditionalFormatting>
  <conditionalFormatting sqref="C113">
    <cfRule type="cellIs" operator="notEqual" dxfId="242" priority="243">
      <formula>Round(D113+Sum(F113:G113),0)</formula>
    </cfRule>
  </conditionalFormatting>
  <conditionalFormatting sqref="H113">
    <cfRule type="cellIs" operator="notEqual" dxfId="243" priority="244">
      <formula>Round(I113+Sum(K113:L113),0)</formula>
    </cfRule>
  </conditionalFormatting>
  <conditionalFormatting sqref="C114">
    <cfRule type="cellIs" operator="notEqual" dxfId="244" priority="245">
      <formula>Round(D114+Sum(F114:G114),0)</formula>
    </cfRule>
  </conditionalFormatting>
  <conditionalFormatting sqref="H114">
    <cfRule type="cellIs" operator="notEqual" dxfId="245" priority="246">
      <formula>Round(I114+Sum(K114:L114),0)</formula>
    </cfRule>
  </conditionalFormatting>
  <conditionalFormatting sqref="C115">
    <cfRule type="cellIs" operator="notEqual" dxfId="246" priority="247">
      <formula>Round(D115+Sum(F115:G115),0)</formula>
    </cfRule>
  </conditionalFormatting>
  <conditionalFormatting sqref="H115">
    <cfRule type="cellIs" operator="notEqual" dxfId="247" priority="248">
      <formula>Round(I115+Sum(K115:L115),0)</formula>
    </cfRule>
  </conditionalFormatting>
  <conditionalFormatting sqref="C116">
    <cfRule type="cellIs" operator="notEqual" dxfId="248" priority="249">
      <formula>Round(D116+Sum(F116:G116),0)</formula>
    </cfRule>
  </conditionalFormatting>
  <conditionalFormatting sqref="H116">
    <cfRule type="cellIs" operator="notEqual" dxfId="249" priority="250">
      <formula>Round(I116+Sum(K116:L116),0)</formula>
    </cfRule>
  </conditionalFormatting>
  <conditionalFormatting sqref="C117">
    <cfRule type="cellIs" operator="notEqual" dxfId="250" priority="251">
      <formula>Round(D117+Sum(F117:G117),0)</formula>
    </cfRule>
  </conditionalFormatting>
  <conditionalFormatting sqref="H117">
    <cfRule type="cellIs" operator="notEqual" dxfId="251" priority="252">
      <formula>Round(I117+Sum(K117:L117),0)</formula>
    </cfRule>
  </conditionalFormatting>
  <conditionalFormatting sqref="C118">
    <cfRule type="cellIs" operator="notEqual" dxfId="252" priority="253">
      <formula>Round(D118+Sum(F118:G118),0)</formula>
    </cfRule>
  </conditionalFormatting>
  <conditionalFormatting sqref="H118">
    <cfRule type="cellIs" operator="notEqual" dxfId="253" priority="254">
      <formula>Round(I118+Sum(K118:L118),0)</formula>
    </cfRule>
  </conditionalFormatting>
  <conditionalFormatting sqref="C119">
    <cfRule type="cellIs" operator="notEqual" dxfId="254" priority="255">
      <formula>Round(D119+Sum(F119:G119),0)</formula>
    </cfRule>
  </conditionalFormatting>
  <conditionalFormatting sqref="H119">
    <cfRule type="cellIs" operator="notEqual" dxfId="255" priority="256">
      <formula>Round(I119+Sum(K119:L119),0)</formula>
    </cfRule>
  </conditionalFormatting>
  <conditionalFormatting sqref="C120">
    <cfRule type="cellIs" operator="notEqual" dxfId="256" priority="257">
      <formula>Round(D120+Sum(F120:G120),0)</formula>
    </cfRule>
  </conditionalFormatting>
  <conditionalFormatting sqref="H120">
    <cfRule type="cellIs" operator="notEqual" dxfId="257" priority="258">
      <formula>Round(I120+Sum(K120:L120),0)</formula>
    </cfRule>
  </conditionalFormatting>
  <conditionalFormatting sqref="C121">
    <cfRule type="cellIs" operator="notEqual" dxfId="258" priority="259">
      <formula>Round(D121+Sum(F121:G121),0)</formula>
    </cfRule>
  </conditionalFormatting>
  <conditionalFormatting sqref="H121">
    <cfRule type="cellIs" operator="notEqual" dxfId="259" priority="260">
      <formula>Round(I121+Sum(K121:L121),0)</formula>
    </cfRule>
  </conditionalFormatting>
  <conditionalFormatting sqref="C122">
    <cfRule type="cellIs" operator="notEqual" dxfId="260" priority="261">
      <formula>Round(D122+Sum(F122:G122),0)</formula>
    </cfRule>
  </conditionalFormatting>
  <conditionalFormatting sqref="H122">
    <cfRule type="cellIs" operator="notEqual" dxfId="261" priority="262">
      <formula>Round(I122+Sum(K122:L122),0)</formula>
    </cfRule>
  </conditionalFormatting>
  <conditionalFormatting sqref="C123">
    <cfRule type="cellIs" operator="notEqual" dxfId="262" priority="263">
      <formula>Round(D123+Sum(F123:G123),0)</formula>
    </cfRule>
  </conditionalFormatting>
  <conditionalFormatting sqref="H123">
    <cfRule type="cellIs" operator="notEqual" dxfId="263" priority="264">
      <formula>Round(I123+Sum(K123:L123),0)</formula>
    </cfRule>
  </conditionalFormatting>
  <conditionalFormatting sqref="C124">
    <cfRule type="cellIs" operator="notEqual" dxfId="264" priority="265">
      <formula>Round(D124+Sum(F124:G124),0)</formula>
    </cfRule>
  </conditionalFormatting>
  <conditionalFormatting sqref="H124">
    <cfRule type="cellIs" operator="notEqual" dxfId="265" priority="266">
      <formula>Round(I124+Sum(K124:L124),0)</formula>
    </cfRule>
  </conditionalFormatting>
  <conditionalFormatting sqref="C125">
    <cfRule type="cellIs" operator="notEqual" dxfId="266" priority="267">
      <formula>Round(D125+Sum(F125:G125),0)</formula>
    </cfRule>
  </conditionalFormatting>
  <conditionalFormatting sqref="H125">
    <cfRule type="cellIs" operator="notEqual" dxfId="267" priority="268">
      <formula>Round(I125+Sum(K125:L125),0)</formula>
    </cfRule>
  </conditionalFormatting>
  <conditionalFormatting sqref="C126">
    <cfRule type="cellIs" operator="notEqual" dxfId="268" priority="269">
      <formula>Round(D126+Sum(F126:G126),0)</formula>
    </cfRule>
  </conditionalFormatting>
  <conditionalFormatting sqref="H126">
    <cfRule type="cellIs" operator="notEqual" dxfId="269" priority="270">
      <formula>Round(I126+Sum(K126:L126),0)</formula>
    </cfRule>
  </conditionalFormatting>
  <conditionalFormatting sqref="C127">
    <cfRule type="cellIs" operator="notEqual" dxfId="270" priority="271">
      <formula>Round(D127+Sum(F127:G127),0)</formula>
    </cfRule>
  </conditionalFormatting>
  <conditionalFormatting sqref="H127">
    <cfRule type="cellIs" operator="notEqual" dxfId="271" priority="272">
      <formula>Round(I127+Sum(K127:L127),0)</formula>
    </cfRule>
  </conditionalFormatting>
  <conditionalFormatting sqref="C128">
    <cfRule type="cellIs" operator="notEqual" dxfId="272" priority="273">
      <formula>Round(D128+Sum(F128:G128),0)</formula>
    </cfRule>
  </conditionalFormatting>
  <conditionalFormatting sqref="H128">
    <cfRule type="cellIs" operator="notEqual" dxfId="273" priority="274">
      <formula>Round(I128+Sum(K128:L128),0)</formula>
    </cfRule>
  </conditionalFormatting>
  <conditionalFormatting sqref="C129">
    <cfRule type="cellIs" operator="notEqual" dxfId="274" priority="275">
      <formula>Round(D129+Sum(F129:G129),0)</formula>
    </cfRule>
  </conditionalFormatting>
  <conditionalFormatting sqref="H129">
    <cfRule type="cellIs" operator="notEqual" dxfId="275" priority="276">
      <formula>Round(I129+Sum(K129:L129),0)</formula>
    </cfRule>
  </conditionalFormatting>
  <conditionalFormatting sqref="C130">
    <cfRule type="cellIs" operator="notEqual" dxfId="276" priority="277">
      <formula>Round(D130+Sum(F130:G130),0)</formula>
    </cfRule>
  </conditionalFormatting>
  <conditionalFormatting sqref="H130">
    <cfRule type="cellIs" operator="notEqual" dxfId="277" priority="278">
      <formula>Round(I130+Sum(K130:L130),0)</formula>
    </cfRule>
  </conditionalFormatting>
  <conditionalFormatting sqref="C131">
    <cfRule type="cellIs" operator="notEqual" dxfId="278" priority="279">
      <formula>Round(D131+Sum(F131:G131),0)</formula>
    </cfRule>
  </conditionalFormatting>
  <conditionalFormatting sqref="H131">
    <cfRule type="cellIs" operator="notEqual" dxfId="279" priority="280">
      <formula>Round(I131+Sum(K131:L131),0)</formula>
    </cfRule>
  </conditionalFormatting>
  <conditionalFormatting sqref="C132">
    <cfRule type="cellIs" operator="notEqual" dxfId="280" priority="281">
      <formula>Round(D132+Sum(F132:G132),0)</formula>
    </cfRule>
  </conditionalFormatting>
  <conditionalFormatting sqref="H132">
    <cfRule type="cellIs" operator="notEqual" dxfId="281" priority="282">
      <formula>Round(I132+Sum(K132:L132),0)</formula>
    </cfRule>
  </conditionalFormatting>
  <conditionalFormatting sqref="C133">
    <cfRule type="cellIs" operator="notEqual" dxfId="282" priority="283">
      <formula>Round(D133+Sum(F133:G133),0)</formula>
    </cfRule>
  </conditionalFormatting>
  <conditionalFormatting sqref="H133">
    <cfRule type="cellIs" operator="notEqual" dxfId="283" priority="284">
      <formula>Round(I133+Sum(K133:L133),0)</formula>
    </cfRule>
  </conditionalFormatting>
  <conditionalFormatting sqref="C134">
    <cfRule type="cellIs" operator="notEqual" dxfId="284" priority="285">
      <formula>Round(D134+Sum(F134:G134),0)</formula>
    </cfRule>
  </conditionalFormatting>
  <conditionalFormatting sqref="H134">
    <cfRule type="cellIs" operator="notEqual" dxfId="285" priority="286">
      <formula>Round(I134+Sum(K134:L134),0)</formula>
    </cfRule>
  </conditionalFormatting>
  <conditionalFormatting sqref="C135">
    <cfRule type="cellIs" operator="notEqual" dxfId="286" priority="287">
      <formula>Round(D135+Sum(F135:G135),0)</formula>
    </cfRule>
  </conditionalFormatting>
  <conditionalFormatting sqref="H135">
    <cfRule type="cellIs" operator="notEqual" dxfId="287" priority="288">
      <formula>Round(I135+Sum(K135:L135),0)</formula>
    </cfRule>
  </conditionalFormatting>
  <conditionalFormatting sqref="C136">
    <cfRule type="cellIs" operator="notEqual" dxfId="288" priority="289">
      <formula>Round(D136+Sum(F136:G136),0)</formula>
    </cfRule>
  </conditionalFormatting>
  <conditionalFormatting sqref="H136">
    <cfRule type="cellIs" operator="notEqual" dxfId="289" priority="290">
      <formula>Round(I136+Sum(K136:L136),0)</formula>
    </cfRule>
  </conditionalFormatting>
  <conditionalFormatting sqref="C137">
    <cfRule type="cellIs" operator="notEqual" dxfId="290" priority="291">
      <formula>Round(D137+Sum(F137:G137),0)</formula>
    </cfRule>
  </conditionalFormatting>
  <conditionalFormatting sqref="H137">
    <cfRule type="cellIs" operator="notEqual" dxfId="291" priority="292">
      <formula>Round(I137+Sum(K137:L137),0)</formula>
    </cfRule>
  </conditionalFormatting>
  <conditionalFormatting sqref="C138">
    <cfRule type="cellIs" operator="notEqual" dxfId="292" priority="293">
      <formula>Round(D138+Sum(F138:G138),0)</formula>
    </cfRule>
  </conditionalFormatting>
  <conditionalFormatting sqref="H138">
    <cfRule type="cellIs" operator="notEqual" dxfId="293" priority="294">
      <formula>Round(I138+Sum(K138:L138),0)</formula>
    </cfRule>
  </conditionalFormatting>
  <conditionalFormatting sqref="C139">
    <cfRule type="cellIs" operator="notEqual" dxfId="294" priority="295">
      <formula>Round(D139+Sum(F139:G139),0)</formula>
    </cfRule>
  </conditionalFormatting>
  <conditionalFormatting sqref="H139">
    <cfRule type="cellIs" operator="notEqual" dxfId="295" priority="296">
      <formula>Round(I139+Sum(K139:L139),0)</formula>
    </cfRule>
  </conditionalFormatting>
  <conditionalFormatting sqref="C140">
    <cfRule type="cellIs" operator="notEqual" dxfId="296" priority="297">
      <formula>Round(D140+Sum(F140:G140),0)</formula>
    </cfRule>
  </conditionalFormatting>
  <conditionalFormatting sqref="H140">
    <cfRule type="cellIs" operator="notEqual" dxfId="297" priority="298">
      <formula>Round(I140+Sum(K140:L140),0)</formula>
    </cfRule>
  </conditionalFormatting>
  <conditionalFormatting sqref="C141">
    <cfRule type="cellIs" operator="notEqual" dxfId="298" priority="299">
      <formula>Round(D141+Sum(F141:G141),0)</formula>
    </cfRule>
  </conditionalFormatting>
  <conditionalFormatting sqref="H141">
    <cfRule type="cellIs" operator="notEqual" dxfId="299" priority="300">
      <formula>Round(I141+Sum(K141:L141),0)</formula>
    </cfRule>
  </conditionalFormatting>
  <conditionalFormatting sqref="C142">
    <cfRule type="cellIs" operator="notEqual" dxfId="300" priority="301">
      <formula>Round(D142+Sum(F142:G142),0)</formula>
    </cfRule>
  </conditionalFormatting>
  <conditionalFormatting sqref="H142">
    <cfRule type="cellIs" operator="notEqual" dxfId="301" priority="302">
      <formula>Round(I142+Sum(K142:L142),0)</formula>
    </cfRule>
  </conditionalFormatting>
  <conditionalFormatting sqref="C143">
    <cfRule type="cellIs" operator="notEqual" dxfId="302" priority="303">
      <formula>Round(D143+Sum(F143:G143),0)</formula>
    </cfRule>
  </conditionalFormatting>
  <conditionalFormatting sqref="H143">
    <cfRule type="cellIs" operator="notEqual" dxfId="303" priority="304">
      <formula>Round(I143+Sum(K143:L143),0)</formula>
    </cfRule>
  </conditionalFormatting>
  <conditionalFormatting sqref="C144">
    <cfRule type="cellIs" operator="notEqual" dxfId="304" priority="305">
      <formula>Round(D144+Sum(F144:G144),0)</formula>
    </cfRule>
  </conditionalFormatting>
  <conditionalFormatting sqref="H144">
    <cfRule type="cellIs" operator="notEqual" dxfId="305" priority="306">
      <formula>Round(I144+Sum(K144:L144),0)</formula>
    </cfRule>
  </conditionalFormatting>
  <conditionalFormatting sqref="C145">
    <cfRule type="cellIs" operator="notEqual" dxfId="306" priority="307">
      <formula>Round(D145+Sum(F145:G145),0)</formula>
    </cfRule>
  </conditionalFormatting>
  <conditionalFormatting sqref="H145">
    <cfRule type="cellIs" operator="notEqual" dxfId="307" priority="308">
      <formula>Round(I145+Sum(K145:L145),0)</formula>
    </cfRule>
  </conditionalFormatting>
  <conditionalFormatting sqref="C146">
    <cfRule type="cellIs" operator="notEqual" dxfId="308" priority="309">
      <formula>Round(D146+Sum(F146:G146),0)</formula>
    </cfRule>
  </conditionalFormatting>
  <conditionalFormatting sqref="H146">
    <cfRule type="cellIs" operator="notEqual" dxfId="309" priority="310">
      <formula>Round(I146+Sum(K146:L146),0)</formula>
    </cfRule>
  </conditionalFormatting>
  <conditionalFormatting sqref="C147">
    <cfRule type="cellIs" operator="notEqual" dxfId="310" priority="311">
      <formula>Round(D147+Sum(F147:G147),0)</formula>
    </cfRule>
  </conditionalFormatting>
  <conditionalFormatting sqref="H147">
    <cfRule type="cellIs" operator="notEqual" dxfId="311" priority="312">
      <formula>Round(I147+Sum(K147:L147),0)</formula>
    </cfRule>
  </conditionalFormatting>
  <conditionalFormatting sqref="C148">
    <cfRule type="cellIs" operator="notEqual" dxfId="312" priority="313">
      <formula>Round(D148+Sum(F148:G148),0)</formula>
    </cfRule>
  </conditionalFormatting>
  <conditionalFormatting sqref="H148">
    <cfRule type="cellIs" operator="notEqual" dxfId="313" priority="314">
      <formula>Round(I148+Sum(K148:L148),0)</formula>
    </cfRule>
  </conditionalFormatting>
  <conditionalFormatting sqref="C149">
    <cfRule type="cellIs" operator="notEqual" dxfId="314" priority="315">
      <formula>Round(D149+Sum(F149:G149),0)</formula>
    </cfRule>
  </conditionalFormatting>
  <conditionalFormatting sqref="H149">
    <cfRule type="cellIs" operator="notEqual" dxfId="315" priority="316">
      <formula>Round(I149+Sum(K149:L149),0)</formula>
    </cfRule>
  </conditionalFormatting>
  <conditionalFormatting sqref="C150">
    <cfRule type="cellIs" operator="notEqual" dxfId="316" priority="317">
      <formula>Round(D150+Sum(F150:G150),0)</formula>
    </cfRule>
  </conditionalFormatting>
  <conditionalFormatting sqref="H150">
    <cfRule type="cellIs" operator="notEqual" dxfId="317" priority="318">
      <formula>Round(I150+Sum(K150:L150),0)</formula>
    </cfRule>
  </conditionalFormatting>
  <conditionalFormatting sqref="C151">
    <cfRule type="cellIs" operator="notEqual" dxfId="318" priority="319">
      <formula>Round(D151+Sum(F151:G151),0)</formula>
    </cfRule>
  </conditionalFormatting>
  <conditionalFormatting sqref="H151">
    <cfRule type="cellIs" operator="notEqual" dxfId="319" priority="320">
      <formula>Round(I151+Sum(K151:L151),0)</formula>
    </cfRule>
  </conditionalFormatting>
  <conditionalFormatting sqref="C152">
    <cfRule type="cellIs" operator="notEqual" dxfId="320" priority="321">
      <formula>Round(D152+Sum(F152:G152),0)</formula>
    </cfRule>
  </conditionalFormatting>
  <conditionalFormatting sqref="H152">
    <cfRule type="cellIs" operator="notEqual" dxfId="321" priority="322">
      <formula>Round(I152+Sum(K152:L152),0)</formula>
    </cfRule>
  </conditionalFormatting>
  <conditionalFormatting sqref="C153">
    <cfRule type="cellIs" operator="notEqual" dxfId="322" priority="323">
      <formula>Round(D153+Sum(F153:G153),0)</formula>
    </cfRule>
  </conditionalFormatting>
  <conditionalFormatting sqref="H153">
    <cfRule type="cellIs" operator="notEqual" dxfId="323" priority="324">
      <formula>Round(I153+Sum(K153:L153),0)</formula>
    </cfRule>
  </conditionalFormatting>
  <conditionalFormatting sqref="C154">
    <cfRule type="cellIs" operator="notEqual" dxfId="324" priority="325">
      <formula>Round(D154+Sum(F154:G154),0)</formula>
    </cfRule>
  </conditionalFormatting>
  <conditionalFormatting sqref="H154">
    <cfRule type="cellIs" operator="notEqual" dxfId="325" priority="326">
      <formula>Round(I154+Sum(K154:L154),0)</formula>
    </cfRule>
  </conditionalFormatting>
  <conditionalFormatting sqref="C155">
    <cfRule type="cellIs" operator="notEqual" dxfId="326" priority="327">
      <formula>Round(D155+Sum(F155:G155),0)</formula>
    </cfRule>
  </conditionalFormatting>
  <conditionalFormatting sqref="H155">
    <cfRule type="cellIs" operator="notEqual" dxfId="327" priority="328">
      <formula>Round(I155+Sum(K155:L155),0)</formula>
    </cfRule>
  </conditionalFormatting>
  <conditionalFormatting sqref="C156">
    <cfRule type="cellIs" operator="notEqual" dxfId="328" priority="329">
      <formula>Round(D156+Sum(F156:G156),0)</formula>
    </cfRule>
  </conditionalFormatting>
  <conditionalFormatting sqref="H156">
    <cfRule type="cellIs" operator="notEqual" dxfId="329" priority="330">
      <formula>Round(I156+Sum(K156:L156),0)</formula>
    </cfRule>
  </conditionalFormatting>
  <conditionalFormatting sqref="C157">
    <cfRule type="cellIs" operator="notEqual" dxfId="330" priority="331">
      <formula>Round(D157+Sum(F157:G157),0)</formula>
    </cfRule>
  </conditionalFormatting>
  <conditionalFormatting sqref="H157">
    <cfRule type="cellIs" operator="notEqual" dxfId="331" priority="332">
      <formula>Round(I157+Sum(K157:L157),0)</formula>
    </cfRule>
  </conditionalFormatting>
  <conditionalFormatting sqref="C158">
    <cfRule type="cellIs" operator="notEqual" dxfId="332" priority="333">
      <formula>Round(D158+Sum(F158:G158),0)</formula>
    </cfRule>
  </conditionalFormatting>
  <conditionalFormatting sqref="H158">
    <cfRule type="cellIs" operator="notEqual" dxfId="333" priority="334">
      <formula>Round(I158+Sum(K158:L158),0)</formula>
    </cfRule>
  </conditionalFormatting>
  <conditionalFormatting sqref="C159">
    <cfRule type="cellIs" operator="notEqual" dxfId="334" priority="335">
      <formula>Round(D159+Sum(F159:G159),0)</formula>
    </cfRule>
  </conditionalFormatting>
  <conditionalFormatting sqref="H159">
    <cfRule type="cellIs" operator="notEqual" dxfId="335" priority="336">
      <formula>Round(I159+Sum(K159:L159),0)</formula>
    </cfRule>
  </conditionalFormatting>
  <conditionalFormatting sqref="C160">
    <cfRule type="cellIs" operator="notEqual" dxfId="336" priority="337">
      <formula>Round(D160+Sum(F160:G160),0)</formula>
    </cfRule>
  </conditionalFormatting>
  <conditionalFormatting sqref="H160">
    <cfRule type="cellIs" operator="notEqual" dxfId="337" priority="338">
      <formula>Round(I160+Sum(K160:L160),0)</formula>
    </cfRule>
  </conditionalFormatting>
  <conditionalFormatting sqref="C161">
    <cfRule type="cellIs" operator="notEqual" dxfId="338" priority="339">
      <formula>Round(D161+Sum(F161:G161),0)</formula>
    </cfRule>
  </conditionalFormatting>
  <conditionalFormatting sqref="H161">
    <cfRule type="cellIs" operator="notEqual" dxfId="339" priority="340">
      <formula>Round(I161+Sum(K161:L161),0)</formula>
    </cfRule>
  </conditionalFormatting>
  <conditionalFormatting sqref="C162">
    <cfRule type="cellIs" operator="notEqual" dxfId="340" priority="341">
      <formula>Round(D162+Sum(F162:G162),0)</formula>
    </cfRule>
  </conditionalFormatting>
  <conditionalFormatting sqref="H162">
    <cfRule type="cellIs" operator="notEqual" dxfId="341" priority="342">
      <formula>Round(I162+Sum(K162:L162),0)</formula>
    </cfRule>
  </conditionalFormatting>
  <conditionalFormatting sqref="C163">
    <cfRule type="cellIs" operator="notEqual" dxfId="342" priority="343">
      <formula>Round(D163+Sum(F163:G163),0)</formula>
    </cfRule>
  </conditionalFormatting>
  <conditionalFormatting sqref="H163">
    <cfRule type="cellIs" operator="notEqual" dxfId="343" priority="344">
      <formula>Round(I163+Sum(K163:L163),0)</formula>
    </cfRule>
  </conditionalFormatting>
  <conditionalFormatting sqref="C164">
    <cfRule type="cellIs" operator="notEqual" dxfId="344" priority="345">
      <formula>Round(D164+Sum(F164:G164),0)</formula>
    </cfRule>
  </conditionalFormatting>
  <conditionalFormatting sqref="H164">
    <cfRule type="cellIs" operator="notEqual" dxfId="345" priority="346">
      <formula>Round(I164+Sum(K164:L164),0)</formula>
    </cfRule>
  </conditionalFormatting>
  <conditionalFormatting sqref="C165">
    <cfRule type="cellIs" operator="notEqual" dxfId="346" priority="347">
      <formula>Round(D165+Sum(F165:G165),0)</formula>
    </cfRule>
  </conditionalFormatting>
  <conditionalFormatting sqref="H165">
    <cfRule type="cellIs" operator="notEqual" dxfId="347" priority="348">
      <formula>Round(I165+Sum(K165:L165),0)</formula>
    </cfRule>
  </conditionalFormatting>
  <conditionalFormatting sqref="C166">
    <cfRule type="cellIs" operator="notEqual" dxfId="348" priority="349">
      <formula>Round(D166+Sum(F166:G166),0)</formula>
    </cfRule>
  </conditionalFormatting>
  <conditionalFormatting sqref="H166">
    <cfRule type="cellIs" operator="notEqual" dxfId="349" priority="350">
      <formula>Round(I166+Sum(K166:L166),0)</formula>
    </cfRule>
  </conditionalFormatting>
  <conditionalFormatting sqref="C167">
    <cfRule type="cellIs" operator="notEqual" dxfId="350" priority="351">
      <formula>Round(D167+Sum(F167:G167),0)</formula>
    </cfRule>
  </conditionalFormatting>
  <conditionalFormatting sqref="H167">
    <cfRule type="cellIs" operator="notEqual" dxfId="351" priority="352">
      <formula>Round(I167+Sum(K167:L167),0)</formula>
    </cfRule>
  </conditionalFormatting>
  <conditionalFormatting sqref="C168">
    <cfRule type="cellIs" operator="notEqual" dxfId="352" priority="353">
      <formula>Round(D168+Sum(F168:G168),0)</formula>
    </cfRule>
  </conditionalFormatting>
  <conditionalFormatting sqref="H168">
    <cfRule type="cellIs" operator="notEqual" dxfId="353" priority="354">
      <formula>Round(I168+Sum(K168:L168),0)</formula>
    </cfRule>
  </conditionalFormatting>
  <conditionalFormatting sqref="C169">
    <cfRule type="cellIs" operator="notEqual" dxfId="354" priority="355">
      <formula>Round(D169+Sum(F169:G169),0)</formula>
    </cfRule>
  </conditionalFormatting>
  <conditionalFormatting sqref="H169">
    <cfRule type="cellIs" operator="notEqual" dxfId="355" priority="356">
      <formula>Round(I169+Sum(K169:L169),0)</formula>
    </cfRule>
  </conditionalFormatting>
  <conditionalFormatting sqref="C170">
    <cfRule type="cellIs" operator="notEqual" dxfId="356" priority="357">
      <formula>Round(D170+Sum(F170:G170),0)</formula>
    </cfRule>
  </conditionalFormatting>
  <conditionalFormatting sqref="H170">
    <cfRule type="cellIs" operator="notEqual" dxfId="357" priority="358">
      <formula>Round(I170+Sum(K170:L170),0)</formula>
    </cfRule>
  </conditionalFormatting>
  <conditionalFormatting sqref="C171">
    <cfRule type="cellIs" operator="notEqual" dxfId="358" priority="359">
      <formula>Round(D171+Sum(F171:G171),0)</formula>
    </cfRule>
  </conditionalFormatting>
  <conditionalFormatting sqref="H171">
    <cfRule type="cellIs" operator="notEqual" dxfId="359" priority="360">
      <formula>Round(I171+Sum(K171:L171),0)</formula>
    </cfRule>
  </conditionalFormatting>
  <conditionalFormatting sqref="C172">
    <cfRule type="cellIs" operator="notEqual" dxfId="360" priority="361">
      <formula>Round(D172+Sum(F172:G172),0)</formula>
    </cfRule>
  </conditionalFormatting>
  <conditionalFormatting sqref="H172">
    <cfRule type="cellIs" operator="notEqual" dxfId="361" priority="362">
      <formula>Round(I172+Sum(K172:L172),0)</formula>
    </cfRule>
  </conditionalFormatting>
  <conditionalFormatting sqref="C173">
    <cfRule type="cellIs" operator="notEqual" dxfId="362" priority="363">
      <formula>Round(D173+Sum(F173:G173),0)</formula>
    </cfRule>
  </conditionalFormatting>
  <conditionalFormatting sqref="H173">
    <cfRule type="cellIs" operator="notEqual" dxfId="363" priority="364">
      <formula>Round(I173+Sum(K173:L173),0)</formula>
    </cfRule>
  </conditionalFormatting>
  <conditionalFormatting sqref="C174">
    <cfRule type="cellIs" operator="notEqual" dxfId="364" priority="365">
      <formula>Round(D174+Sum(F174:G174),0)</formula>
    </cfRule>
  </conditionalFormatting>
  <conditionalFormatting sqref="H174">
    <cfRule type="cellIs" operator="notEqual" dxfId="365" priority="366">
      <formula>Round(I174+Sum(K174:L174),0)</formula>
    </cfRule>
  </conditionalFormatting>
  <conditionalFormatting sqref="C175">
    <cfRule type="cellIs" operator="notEqual" dxfId="366" priority="367">
      <formula>Round(D175+Sum(F175:G175),0)</formula>
    </cfRule>
  </conditionalFormatting>
  <conditionalFormatting sqref="H175">
    <cfRule type="cellIs" operator="notEqual" dxfId="367" priority="368">
      <formula>Round(I175+Sum(K175:L175),0)</formula>
    </cfRule>
  </conditionalFormatting>
  <conditionalFormatting sqref="C176">
    <cfRule type="cellIs" operator="notEqual" dxfId="368" priority="369">
      <formula>Round(D176+Sum(F176:G176),0)</formula>
    </cfRule>
  </conditionalFormatting>
  <conditionalFormatting sqref="H176">
    <cfRule type="cellIs" operator="notEqual" dxfId="369" priority="370">
      <formula>Round(I176+Sum(K176:L176),0)</formula>
    </cfRule>
  </conditionalFormatting>
  <conditionalFormatting sqref="C177">
    <cfRule type="cellIs" operator="notEqual" dxfId="370" priority="371">
      <formula>Round(D177+Sum(F177:G177),0)</formula>
    </cfRule>
  </conditionalFormatting>
  <conditionalFormatting sqref="H177">
    <cfRule type="cellIs" operator="notEqual" dxfId="371" priority="372">
      <formula>Round(I177+Sum(K177:L177),0)</formula>
    </cfRule>
  </conditionalFormatting>
  <conditionalFormatting sqref="C178">
    <cfRule type="cellIs" operator="notEqual" dxfId="372" priority="373">
      <formula>Round(D178+Sum(F178:G178),0)</formula>
    </cfRule>
  </conditionalFormatting>
  <conditionalFormatting sqref="H178">
    <cfRule type="cellIs" operator="notEqual" dxfId="373" priority="374">
      <formula>Round(I178+Sum(K178:L178),0)</formula>
    </cfRule>
  </conditionalFormatting>
  <conditionalFormatting sqref="C179">
    <cfRule type="cellIs" operator="notEqual" dxfId="374" priority="375">
      <formula>Round(D179+Sum(F179:G179),0)</formula>
    </cfRule>
  </conditionalFormatting>
  <conditionalFormatting sqref="H179">
    <cfRule type="cellIs" operator="notEqual" dxfId="375" priority="376">
      <formula>Round(I179+Sum(K179:L179),0)</formula>
    </cfRule>
  </conditionalFormatting>
  <conditionalFormatting sqref="C180">
    <cfRule type="cellIs" operator="notEqual" dxfId="376" priority="377">
      <formula>Round(D180+Sum(F180:G180),0)</formula>
    </cfRule>
  </conditionalFormatting>
  <conditionalFormatting sqref="H180">
    <cfRule type="cellIs" operator="notEqual" dxfId="377" priority="378">
      <formula>Round(I180+Sum(K180:L180),0)</formula>
    </cfRule>
  </conditionalFormatting>
  <conditionalFormatting sqref="C181">
    <cfRule type="cellIs" operator="notEqual" dxfId="378" priority="379">
      <formula>Round(D181+Sum(F181:G181),0)</formula>
    </cfRule>
  </conditionalFormatting>
  <conditionalFormatting sqref="H181">
    <cfRule type="cellIs" operator="notEqual" dxfId="379" priority="380">
      <formula>Round(I181+Sum(K181:L181),0)</formula>
    </cfRule>
  </conditionalFormatting>
  <conditionalFormatting sqref="C182">
    <cfRule type="cellIs" operator="notEqual" dxfId="380" priority="381">
      <formula>Round(D182+Sum(F182:G182),0)</formula>
    </cfRule>
  </conditionalFormatting>
  <conditionalFormatting sqref="H182">
    <cfRule type="cellIs" operator="notEqual" dxfId="381" priority="382">
      <formula>Round(I182+Sum(K182:L182),0)</formula>
    </cfRule>
  </conditionalFormatting>
  <conditionalFormatting sqref="C183">
    <cfRule type="cellIs" operator="notEqual" dxfId="382" priority="383">
      <formula>Round(D183+Sum(F183:G183),0)</formula>
    </cfRule>
  </conditionalFormatting>
  <conditionalFormatting sqref="H183">
    <cfRule type="cellIs" operator="notEqual" dxfId="383" priority="384">
      <formula>Round(I183+Sum(K183:L183),0)</formula>
    </cfRule>
  </conditionalFormatting>
  <conditionalFormatting sqref="C184">
    <cfRule type="cellIs" operator="notEqual" dxfId="384" priority="385">
      <formula>Round(D184+Sum(F184:G184),0)</formula>
    </cfRule>
  </conditionalFormatting>
  <conditionalFormatting sqref="H184">
    <cfRule type="cellIs" operator="notEqual" dxfId="385" priority="386">
      <formula>Round(I184+Sum(K184:L184),0)</formula>
    </cfRule>
  </conditionalFormatting>
  <conditionalFormatting sqref="C185">
    <cfRule type="cellIs" operator="notEqual" dxfId="386" priority="387">
      <formula>Round(D185+Sum(F185:G185),0)</formula>
    </cfRule>
  </conditionalFormatting>
  <conditionalFormatting sqref="H185">
    <cfRule type="cellIs" operator="notEqual" dxfId="387" priority="388">
      <formula>Round(I185+Sum(K185:L185),0)</formula>
    </cfRule>
  </conditionalFormatting>
  <conditionalFormatting sqref="C186">
    <cfRule type="cellIs" operator="notEqual" dxfId="388" priority="389">
      <formula>Round(D186+Sum(F186:G186),0)</formula>
    </cfRule>
  </conditionalFormatting>
  <conditionalFormatting sqref="H186">
    <cfRule type="cellIs" operator="notEqual" dxfId="389" priority="390">
      <formula>Round(I186+Sum(K186:L186),0)</formula>
    </cfRule>
  </conditionalFormatting>
  <conditionalFormatting sqref="C187">
    <cfRule type="cellIs" operator="notEqual" dxfId="390" priority="391">
      <formula>Round(D187+Sum(F187:G187),0)</formula>
    </cfRule>
  </conditionalFormatting>
  <conditionalFormatting sqref="H187">
    <cfRule type="cellIs" operator="notEqual" dxfId="391" priority="392">
      <formula>Round(I187+Sum(K187:L187),0)</formula>
    </cfRule>
  </conditionalFormatting>
  <conditionalFormatting sqref="C188">
    <cfRule type="cellIs" operator="notEqual" dxfId="392" priority="393">
      <formula>Round(D188+Sum(F188:G188),0)</formula>
    </cfRule>
  </conditionalFormatting>
  <conditionalFormatting sqref="H188">
    <cfRule type="cellIs" operator="notEqual" dxfId="393" priority="394">
      <formula>Round(I188+Sum(K188:L188),0)</formula>
    </cfRule>
  </conditionalFormatting>
  <conditionalFormatting sqref="C189">
    <cfRule type="cellIs" operator="notEqual" dxfId="394" priority="395">
      <formula>Round(D189+Sum(F189:G189),0)</formula>
    </cfRule>
  </conditionalFormatting>
  <conditionalFormatting sqref="H189">
    <cfRule type="cellIs" operator="notEqual" dxfId="395" priority="396">
      <formula>Round(I189+Sum(K189:L189),0)</formula>
    </cfRule>
  </conditionalFormatting>
  <conditionalFormatting sqref="C190">
    <cfRule type="cellIs" operator="notEqual" dxfId="396" priority="397">
      <formula>Round(D190+Sum(F190:G190),0)</formula>
    </cfRule>
  </conditionalFormatting>
  <conditionalFormatting sqref="H190">
    <cfRule type="cellIs" operator="notEqual" dxfId="397" priority="398">
      <formula>Round(I190+Sum(K190:L190),0)</formula>
    </cfRule>
  </conditionalFormatting>
  <conditionalFormatting sqref="C191">
    <cfRule type="cellIs" operator="notEqual" dxfId="398" priority="399">
      <formula>Round(D191+Sum(F191:G191),0)</formula>
    </cfRule>
  </conditionalFormatting>
  <conditionalFormatting sqref="H191">
    <cfRule type="cellIs" operator="notEqual" dxfId="399" priority="400">
      <formula>Round(I191+Sum(K191:L191),0)</formula>
    </cfRule>
  </conditionalFormatting>
  <conditionalFormatting sqref="C192">
    <cfRule type="cellIs" operator="notEqual" dxfId="400" priority="401">
      <formula>Round(D192+Sum(F192:G192),0)</formula>
    </cfRule>
  </conditionalFormatting>
  <conditionalFormatting sqref="H192">
    <cfRule type="cellIs" operator="notEqual" dxfId="401" priority="402">
      <formula>Round(I192+Sum(K192:L192),0)</formula>
    </cfRule>
  </conditionalFormatting>
  <conditionalFormatting sqref="C193">
    <cfRule type="cellIs" operator="notEqual" dxfId="402" priority="403">
      <formula>Round(D193+Sum(F193:G193),0)</formula>
    </cfRule>
  </conditionalFormatting>
  <conditionalFormatting sqref="H193">
    <cfRule type="cellIs" operator="notEqual" dxfId="403" priority="404">
      <formula>Round(I193+Sum(K193:L193),0)</formula>
    </cfRule>
  </conditionalFormatting>
  <conditionalFormatting sqref="C194">
    <cfRule type="cellIs" operator="notEqual" dxfId="404" priority="405">
      <formula>Round(D194+Sum(F194:G194),0)</formula>
    </cfRule>
  </conditionalFormatting>
  <conditionalFormatting sqref="H194">
    <cfRule type="cellIs" operator="notEqual" dxfId="405" priority="406">
      <formula>Round(I194+Sum(K194:L194),0)</formula>
    </cfRule>
  </conditionalFormatting>
  <conditionalFormatting sqref="C195">
    <cfRule type="cellIs" operator="notEqual" dxfId="406" priority="407">
      <formula>Round(D195+Sum(F195:G195),0)</formula>
    </cfRule>
  </conditionalFormatting>
  <conditionalFormatting sqref="H195">
    <cfRule type="cellIs" operator="notEqual" dxfId="407" priority="408">
      <formula>Round(I195+Sum(K195:L195),0)</formula>
    </cfRule>
  </conditionalFormatting>
  <conditionalFormatting sqref="C196">
    <cfRule type="cellIs" operator="notEqual" dxfId="408" priority="409">
      <formula>Round(D196+Sum(F196:G196),0)</formula>
    </cfRule>
  </conditionalFormatting>
  <conditionalFormatting sqref="H196">
    <cfRule type="cellIs" operator="notEqual" dxfId="409" priority="410">
      <formula>Round(I196+Sum(K196:L196),0)</formula>
    </cfRule>
  </conditionalFormatting>
  <conditionalFormatting sqref="C197">
    <cfRule type="cellIs" operator="notEqual" dxfId="410" priority="411">
      <formula>Round(D197+Sum(F197:G197),0)</formula>
    </cfRule>
  </conditionalFormatting>
  <conditionalFormatting sqref="H197">
    <cfRule type="cellIs" operator="notEqual" dxfId="411" priority="412">
      <formula>Round(I197+Sum(K197:L197),0)</formula>
    </cfRule>
  </conditionalFormatting>
  <conditionalFormatting sqref="C198">
    <cfRule type="cellIs" operator="notEqual" dxfId="412" priority="413">
      <formula>Round(D198+Sum(F198:G198),0)</formula>
    </cfRule>
  </conditionalFormatting>
  <conditionalFormatting sqref="H198">
    <cfRule type="cellIs" operator="notEqual" dxfId="413" priority="414">
      <formula>Round(I198+Sum(K198:L198),0)</formula>
    </cfRule>
  </conditionalFormatting>
  <conditionalFormatting sqref="C199">
    <cfRule type="cellIs" operator="notEqual" dxfId="414" priority="415">
      <formula>Round(D199+Sum(F199:G199),0)</formula>
    </cfRule>
  </conditionalFormatting>
  <conditionalFormatting sqref="H199">
    <cfRule type="cellIs" operator="notEqual" dxfId="415" priority="416">
      <formula>Round(I199+Sum(K199:L199),0)</formula>
    </cfRule>
  </conditionalFormatting>
  <conditionalFormatting sqref="C200">
    <cfRule type="cellIs" operator="notEqual" dxfId="416" priority="417">
      <formula>Round(D200+Sum(F200:G200),0)</formula>
    </cfRule>
  </conditionalFormatting>
  <conditionalFormatting sqref="H200">
    <cfRule type="cellIs" operator="notEqual" dxfId="417" priority="418">
      <formula>Round(I200+Sum(K200:L200),0)</formula>
    </cfRule>
  </conditionalFormatting>
  <conditionalFormatting sqref="C201">
    <cfRule type="cellIs" operator="notEqual" dxfId="418" priority="419">
      <formula>Round(D201+Sum(F201:G201),0)</formula>
    </cfRule>
  </conditionalFormatting>
  <conditionalFormatting sqref="H201">
    <cfRule type="cellIs" operator="notEqual" dxfId="419" priority="420">
      <formula>Round(I201+Sum(K201:L201),0)</formula>
    </cfRule>
  </conditionalFormatting>
  <conditionalFormatting sqref="C202">
    <cfRule type="cellIs" operator="notEqual" dxfId="420" priority="421">
      <formula>Round(D202+Sum(F202:G202),0)</formula>
    </cfRule>
  </conditionalFormatting>
  <conditionalFormatting sqref="H202">
    <cfRule type="cellIs" operator="notEqual" dxfId="421" priority="422">
      <formula>Round(I202+Sum(K202:L202),0)</formula>
    </cfRule>
  </conditionalFormatting>
  <conditionalFormatting sqref="C203">
    <cfRule type="cellIs" operator="notEqual" dxfId="422" priority="423">
      <formula>Round(D203+Sum(F203:G203),0)</formula>
    </cfRule>
  </conditionalFormatting>
  <conditionalFormatting sqref="H203">
    <cfRule type="cellIs" operator="notEqual" dxfId="423" priority="424">
      <formula>Round(I203+Sum(K203:L203),0)</formula>
    </cfRule>
  </conditionalFormatting>
  <conditionalFormatting sqref="C204">
    <cfRule type="cellIs" operator="notEqual" dxfId="424" priority="425">
      <formula>Round(D204+Sum(F204:G204),0)</formula>
    </cfRule>
  </conditionalFormatting>
  <conditionalFormatting sqref="H204">
    <cfRule type="cellIs" operator="notEqual" dxfId="425" priority="426">
      <formula>Round(I204+Sum(K204:L204),0)</formula>
    </cfRule>
  </conditionalFormatting>
  <conditionalFormatting sqref="C205">
    <cfRule type="cellIs" operator="notEqual" dxfId="426" priority="427">
      <formula>Round(D205+Sum(F205:G205),0)</formula>
    </cfRule>
  </conditionalFormatting>
  <conditionalFormatting sqref="H205">
    <cfRule type="cellIs" operator="notEqual" dxfId="427" priority="428">
      <formula>Round(I205+Sum(K205:L205),0)</formula>
    </cfRule>
  </conditionalFormatting>
  <conditionalFormatting sqref="C206">
    <cfRule type="cellIs" operator="notEqual" dxfId="428" priority="429">
      <formula>Round(D206+Sum(F206:G206),0)</formula>
    </cfRule>
  </conditionalFormatting>
  <conditionalFormatting sqref="H206">
    <cfRule type="cellIs" operator="notEqual" dxfId="429" priority="430">
      <formula>Round(I206+Sum(K206:L206),0)</formula>
    </cfRule>
  </conditionalFormatting>
  <conditionalFormatting sqref="C207">
    <cfRule type="cellIs" operator="notEqual" dxfId="430" priority="431">
      <formula>Round(D207+Sum(F207:G207),0)</formula>
    </cfRule>
  </conditionalFormatting>
  <conditionalFormatting sqref="H207">
    <cfRule type="cellIs" operator="notEqual" dxfId="431" priority="432">
      <formula>Round(I207+Sum(K207:L207),0)</formula>
    </cfRule>
  </conditionalFormatting>
  <conditionalFormatting sqref="C208">
    <cfRule type="cellIs" operator="notEqual" dxfId="432" priority="433">
      <formula>Round(D208+Sum(F208:G208),0)</formula>
    </cfRule>
  </conditionalFormatting>
  <conditionalFormatting sqref="H208">
    <cfRule type="cellIs" operator="notEqual" dxfId="433" priority="434">
      <formula>Round(I208+Sum(K208:L208),0)</formula>
    </cfRule>
  </conditionalFormatting>
  <conditionalFormatting sqref="C209">
    <cfRule type="cellIs" operator="notEqual" dxfId="434" priority="435">
      <formula>Round(D209+Sum(F209:G209),0)</formula>
    </cfRule>
  </conditionalFormatting>
  <conditionalFormatting sqref="H209">
    <cfRule type="cellIs" operator="notEqual" dxfId="435" priority="436">
      <formula>Round(I209+Sum(K209:L209),0)</formula>
    </cfRule>
  </conditionalFormatting>
  <conditionalFormatting sqref="C210">
    <cfRule type="cellIs" operator="notEqual" dxfId="436" priority="437">
      <formula>Round(D210+Sum(F210:G210),0)</formula>
    </cfRule>
  </conditionalFormatting>
  <conditionalFormatting sqref="H210">
    <cfRule type="cellIs" operator="notEqual" dxfId="437" priority="438">
      <formula>Round(I210+Sum(K210:L210),0)</formula>
    </cfRule>
  </conditionalFormatting>
  <conditionalFormatting sqref="C211">
    <cfRule type="cellIs" operator="notEqual" dxfId="438" priority="439">
      <formula>Round(D211+Sum(F211:G211),0)</formula>
    </cfRule>
  </conditionalFormatting>
  <conditionalFormatting sqref="H211">
    <cfRule type="cellIs" operator="notEqual" dxfId="439" priority="440">
      <formula>Round(I211+Sum(K211:L211),0)</formula>
    </cfRule>
  </conditionalFormatting>
  <conditionalFormatting sqref="C212">
    <cfRule type="cellIs" operator="notEqual" dxfId="440" priority="441">
      <formula>Round(D212+Sum(F212:G212),0)</formula>
    </cfRule>
  </conditionalFormatting>
  <conditionalFormatting sqref="H212">
    <cfRule type="cellIs" operator="notEqual" dxfId="441" priority="442">
      <formula>Round(I212+Sum(K212:L212),0)</formula>
    </cfRule>
  </conditionalFormatting>
  <conditionalFormatting sqref="C213">
    <cfRule type="cellIs" operator="notEqual" dxfId="442" priority="443">
      <formula>Round(D213+Sum(F213:G213),0)</formula>
    </cfRule>
  </conditionalFormatting>
  <conditionalFormatting sqref="H213">
    <cfRule type="cellIs" operator="notEqual" dxfId="443" priority="444">
      <formula>Round(I213+Sum(K213:L213),0)</formula>
    </cfRule>
  </conditionalFormatting>
  <conditionalFormatting sqref="C214">
    <cfRule type="cellIs" operator="notEqual" dxfId="444" priority="445">
      <formula>Round(D214+Sum(F214:G214),0)</formula>
    </cfRule>
  </conditionalFormatting>
  <conditionalFormatting sqref="H214">
    <cfRule type="cellIs" operator="notEqual" dxfId="445" priority="446">
      <formula>Round(I214+Sum(K214:L214),0)</formula>
    </cfRule>
  </conditionalFormatting>
  <conditionalFormatting sqref="C215">
    <cfRule type="cellIs" operator="notEqual" dxfId="446" priority="447">
      <formula>Round(D215+Sum(F215:G215),0)</formula>
    </cfRule>
  </conditionalFormatting>
  <conditionalFormatting sqref="H215">
    <cfRule type="cellIs" operator="notEqual" dxfId="447" priority="448">
      <formula>Round(I215+Sum(K215:L215),0)</formula>
    </cfRule>
  </conditionalFormatting>
  <conditionalFormatting sqref="C216">
    <cfRule type="cellIs" operator="notEqual" dxfId="448" priority="449">
      <formula>Round(D216+Sum(F216:G216),0)</formula>
    </cfRule>
  </conditionalFormatting>
  <conditionalFormatting sqref="H216">
    <cfRule type="cellIs" operator="notEqual" dxfId="449" priority="450">
      <formula>Round(I216+Sum(K216:L216),0)</formula>
    </cfRule>
  </conditionalFormatting>
  <conditionalFormatting sqref="C217">
    <cfRule type="cellIs" operator="notEqual" dxfId="450" priority="451">
      <formula>Round(D217+Sum(F217:G217),0)</formula>
    </cfRule>
  </conditionalFormatting>
  <conditionalFormatting sqref="H217">
    <cfRule type="cellIs" operator="notEqual" dxfId="451" priority="452">
      <formula>Round(I217+Sum(K217:L217),0)</formula>
    </cfRule>
  </conditionalFormatting>
  <conditionalFormatting sqref="C218">
    <cfRule type="cellIs" operator="notEqual" dxfId="452" priority="453">
      <formula>Round(D218+Sum(F218:G218),0)</formula>
    </cfRule>
  </conditionalFormatting>
  <conditionalFormatting sqref="H218">
    <cfRule type="cellIs" operator="notEqual" dxfId="453" priority="454">
      <formula>Round(I218+Sum(K218:L218),0)</formula>
    </cfRule>
  </conditionalFormatting>
  <conditionalFormatting sqref="C219">
    <cfRule type="cellIs" operator="notEqual" dxfId="454" priority="455">
      <formula>Round(D219+Sum(F219:G219),0)</formula>
    </cfRule>
  </conditionalFormatting>
  <conditionalFormatting sqref="H219">
    <cfRule type="cellIs" operator="notEqual" dxfId="455" priority="456">
      <formula>Round(I219+Sum(K219:L219),0)</formula>
    </cfRule>
  </conditionalFormatting>
  <conditionalFormatting sqref="C220">
    <cfRule type="cellIs" operator="notEqual" dxfId="456" priority="457">
      <formula>Round(D220+Sum(F220:G220),0)</formula>
    </cfRule>
  </conditionalFormatting>
  <conditionalFormatting sqref="H220">
    <cfRule type="cellIs" operator="notEqual" dxfId="457" priority="458">
      <formula>Round(I220+Sum(K220:L220),0)</formula>
    </cfRule>
  </conditionalFormatting>
  <conditionalFormatting sqref="C221">
    <cfRule type="cellIs" operator="notEqual" dxfId="458" priority="459">
      <formula>Round(D221+Sum(F221:G221),0)</formula>
    </cfRule>
  </conditionalFormatting>
  <conditionalFormatting sqref="H221">
    <cfRule type="cellIs" operator="notEqual" dxfId="459" priority="460">
      <formula>Round(I221+Sum(K221:L221),0)</formula>
    </cfRule>
  </conditionalFormatting>
  <conditionalFormatting sqref="C222">
    <cfRule type="cellIs" operator="notEqual" dxfId="460" priority="461">
      <formula>Round(D222+Sum(F222:G222),0)</formula>
    </cfRule>
  </conditionalFormatting>
  <conditionalFormatting sqref="H222">
    <cfRule type="cellIs" operator="notEqual" dxfId="461" priority="462">
      <formula>Round(I222+Sum(K222:L222),0)</formula>
    </cfRule>
  </conditionalFormatting>
  <conditionalFormatting sqref="C223">
    <cfRule type="cellIs" operator="notEqual" dxfId="462" priority="463">
      <formula>Round(D223+Sum(F223:G223),0)</formula>
    </cfRule>
  </conditionalFormatting>
  <conditionalFormatting sqref="H223">
    <cfRule type="cellIs" operator="notEqual" dxfId="463" priority="464">
      <formula>Round(I223+Sum(K223:L223),0)</formula>
    </cfRule>
  </conditionalFormatting>
  <conditionalFormatting sqref="C224">
    <cfRule type="cellIs" operator="notEqual" dxfId="464" priority="465">
      <formula>Round(D224+Sum(F224:G224),0)</formula>
    </cfRule>
  </conditionalFormatting>
  <conditionalFormatting sqref="H224">
    <cfRule type="cellIs" operator="notEqual" dxfId="465" priority="466">
      <formula>Round(I224+Sum(K224:L224),0)</formula>
    </cfRule>
  </conditionalFormatting>
  <conditionalFormatting sqref="C225">
    <cfRule type="cellIs" operator="notEqual" dxfId="466" priority="467">
      <formula>Round(D225+Sum(F225:G225),0)</formula>
    </cfRule>
  </conditionalFormatting>
  <conditionalFormatting sqref="H225">
    <cfRule type="cellIs" operator="notEqual" dxfId="467" priority="468">
      <formula>Round(I225+Sum(K225:L225),0)</formula>
    </cfRule>
  </conditionalFormatting>
  <conditionalFormatting sqref="C226">
    <cfRule type="cellIs" operator="notEqual" dxfId="468" priority="469">
      <formula>Round(D226+Sum(F226:G226),0)</formula>
    </cfRule>
  </conditionalFormatting>
  <conditionalFormatting sqref="H226">
    <cfRule type="cellIs" operator="notEqual" dxfId="469" priority="470">
      <formula>Round(I226+Sum(K226:L226),0)</formula>
    </cfRule>
  </conditionalFormatting>
  <conditionalFormatting sqref="C227">
    <cfRule type="cellIs" operator="notEqual" dxfId="470" priority="471">
      <formula>Round(D227+Sum(F227:G227),0)</formula>
    </cfRule>
  </conditionalFormatting>
  <conditionalFormatting sqref="H227">
    <cfRule type="cellIs" operator="notEqual" dxfId="471" priority="472">
      <formula>Round(I227+Sum(K227:L227),0)</formula>
    </cfRule>
  </conditionalFormatting>
  <conditionalFormatting sqref="C228">
    <cfRule type="cellIs" operator="notEqual" dxfId="472" priority="473">
      <formula>Round(D228+Sum(F228:G228),0)</formula>
    </cfRule>
  </conditionalFormatting>
  <conditionalFormatting sqref="H228">
    <cfRule type="cellIs" operator="notEqual" dxfId="473" priority="474">
      <formula>Round(I228+Sum(K228:L228),0)</formula>
    </cfRule>
  </conditionalFormatting>
  <conditionalFormatting sqref="C229">
    <cfRule type="cellIs" operator="notEqual" dxfId="474" priority="475">
      <formula>Round(D229+Sum(F229:G229),0)</formula>
    </cfRule>
  </conditionalFormatting>
  <conditionalFormatting sqref="H229">
    <cfRule type="cellIs" operator="notEqual" dxfId="475" priority="476">
      <formula>Round(I229+Sum(K229:L229),0)</formula>
    </cfRule>
  </conditionalFormatting>
  <conditionalFormatting sqref="C230">
    <cfRule type="cellIs" operator="notEqual" dxfId="476" priority="477">
      <formula>Round(D230+Sum(F230:G230),0)</formula>
    </cfRule>
  </conditionalFormatting>
  <conditionalFormatting sqref="H230">
    <cfRule type="cellIs" operator="notEqual" dxfId="477" priority="478">
      <formula>Round(I230+Sum(K230:L230),0)</formula>
    </cfRule>
  </conditionalFormatting>
  <conditionalFormatting sqref="C231">
    <cfRule type="cellIs" operator="notEqual" dxfId="478" priority="479">
      <formula>Round(D231+Sum(F231:G231),0)</formula>
    </cfRule>
  </conditionalFormatting>
  <conditionalFormatting sqref="H231">
    <cfRule type="cellIs" operator="notEqual" dxfId="479" priority="480">
      <formula>Round(I231+Sum(K231:L231),0)</formula>
    </cfRule>
  </conditionalFormatting>
  <conditionalFormatting sqref="C232">
    <cfRule type="cellIs" operator="notEqual" dxfId="480" priority="481">
      <formula>Round(D232+Sum(F232:G232),0)</formula>
    </cfRule>
  </conditionalFormatting>
  <conditionalFormatting sqref="H232">
    <cfRule type="cellIs" operator="notEqual" dxfId="481" priority="482">
      <formula>Round(I232+Sum(K232:L232),0)</formula>
    </cfRule>
  </conditionalFormatting>
  <conditionalFormatting sqref="C233">
    <cfRule type="cellIs" operator="notEqual" dxfId="482" priority="483">
      <formula>Round(D233+Sum(F233:G233),0)</formula>
    </cfRule>
  </conditionalFormatting>
  <conditionalFormatting sqref="H233">
    <cfRule type="cellIs" operator="notEqual" dxfId="483" priority="484">
      <formula>Round(I233+Sum(K233:L233),0)</formula>
    </cfRule>
  </conditionalFormatting>
  <conditionalFormatting sqref="C234">
    <cfRule type="cellIs" operator="notEqual" dxfId="484" priority="485">
      <formula>Round(D234+Sum(F234:G234),0)</formula>
    </cfRule>
  </conditionalFormatting>
  <conditionalFormatting sqref="H234">
    <cfRule type="cellIs" operator="notEqual" dxfId="485" priority="486">
      <formula>Round(I234+Sum(K234:L234),0)</formula>
    </cfRule>
  </conditionalFormatting>
  <conditionalFormatting sqref="C235">
    <cfRule type="cellIs" operator="notEqual" dxfId="486" priority="487">
      <formula>Round(D235+Sum(F235:G235),0)</formula>
    </cfRule>
  </conditionalFormatting>
  <conditionalFormatting sqref="H235">
    <cfRule type="cellIs" operator="notEqual" dxfId="487" priority="488">
      <formula>Round(I235+Sum(K235:L235),0)</formula>
    </cfRule>
  </conditionalFormatting>
  <conditionalFormatting sqref="C236">
    <cfRule type="cellIs" operator="notEqual" dxfId="488" priority="489">
      <formula>Round(D236+Sum(F236:G236),0)</formula>
    </cfRule>
  </conditionalFormatting>
  <conditionalFormatting sqref="H236">
    <cfRule type="cellIs" operator="notEqual" dxfId="489" priority="490">
      <formula>Round(I236+Sum(K236:L236),0)</formula>
    </cfRule>
  </conditionalFormatting>
  <conditionalFormatting sqref="C237">
    <cfRule type="cellIs" operator="notEqual" dxfId="490" priority="491">
      <formula>Round(D237+Sum(F237:G237),0)</formula>
    </cfRule>
  </conditionalFormatting>
  <conditionalFormatting sqref="H237">
    <cfRule type="cellIs" operator="notEqual" dxfId="491" priority="492">
      <formula>Round(I237+Sum(K237:L237),0)</formula>
    </cfRule>
  </conditionalFormatting>
  <conditionalFormatting sqref="C238">
    <cfRule type="cellIs" operator="notEqual" dxfId="492" priority="493">
      <formula>Round(D238+Sum(F238:G238),0)</formula>
    </cfRule>
  </conditionalFormatting>
  <conditionalFormatting sqref="H238">
    <cfRule type="cellIs" operator="notEqual" dxfId="493" priority="494">
      <formula>Round(I238+Sum(K238:L238),0)</formula>
    </cfRule>
  </conditionalFormatting>
  <conditionalFormatting sqref="C239">
    <cfRule type="cellIs" operator="notEqual" dxfId="494" priority="495">
      <formula>Round(D239+Sum(F239:G239),0)</formula>
    </cfRule>
  </conditionalFormatting>
  <conditionalFormatting sqref="H239">
    <cfRule type="cellIs" operator="notEqual" dxfId="495" priority="496">
      <formula>Round(I239+Sum(K239:L239),0)</formula>
    </cfRule>
  </conditionalFormatting>
  <conditionalFormatting sqref="C240">
    <cfRule type="cellIs" operator="notEqual" dxfId="496" priority="497">
      <formula>Round(D240+Sum(F240:G240),0)</formula>
    </cfRule>
  </conditionalFormatting>
  <conditionalFormatting sqref="H240">
    <cfRule type="cellIs" operator="notEqual" dxfId="497" priority="498">
      <formula>Round(I240+Sum(K240:L240),0)</formula>
    </cfRule>
  </conditionalFormatting>
  <conditionalFormatting sqref="C241">
    <cfRule type="cellIs" operator="notEqual" dxfId="498" priority="499">
      <formula>Round(D241+Sum(F241:G241),0)</formula>
    </cfRule>
  </conditionalFormatting>
  <conditionalFormatting sqref="H241">
    <cfRule type="cellIs" operator="notEqual" dxfId="499" priority="500">
      <formula>Round(I241+Sum(K241:L241),0)</formula>
    </cfRule>
  </conditionalFormatting>
  <conditionalFormatting sqref="C242">
    <cfRule type="cellIs" operator="notEqual" dxfId="500" priority="501">
      <formula>Round(D242+Sum(F242:G242),0)</formula>
    </cfRule>
  </conditionalFormatting>
  <conditionalFormatting sqref="H242">
    <cfRule type="cellIs" operator="notEqual" dxfId="501" priority="502">
      <formula>Round(I242+Sum(K242:L242),0)</formula>
    </cfRule>
  </conditionalFormatting>
  <conditionalFormatting sqref="C243">
    <cfRule type="cellIs" operator="notEqual" dxfId="502" priority="503">
      <formula>Round(D243+Sum(F243:G243),0)</formula>
    </cfRule>
  </conditionalFormatting>
  <conditionalFormatting sqref="H243">
    <cfRule type="cellIs" operator="notEqual" dxfId="503" priority="504">
      <formula>Round(I243+Sum(K243:L243),0)</formula>
    </cfRule>
  </conditionalFormatting>
  <conditionalFormatting sqref="C244">
    <cfRule type="cellIs" operator="notEqual" dxfId="504" priority="505">
      <formula>Round(D244+Sum(F244:G244),0)</formula>
    </cfRule>
  </conditionalFormatting>
  <conditionalFormatting sqref="H244">
    <cfRule type="cellIs" operator="notEqual" dxfId="505" priority="506">
      <formula>Round(I244+Sum(K244:L244),0)</formula>
    </cfRule>
  </conditionalFormatting>
  <conditionalFormatting sqref="C245">
    <cfRule type="cellIs" operator="notEqual" dxfId="506" priority="507">
      <formula>Round(D245+Sum(F245:G245),0)</formula>
    </cfRule>
  </conditionalFormatting>
  <conditionalFormatting sqref="H245">
    <cfRule type="cellIs" operator="notEqual" dxfId="507" priority="508">
      <formula>Round(I245+Sum(K245:L245),0)</formula>
    </cfRule>
  </conditionalFormatting>
  <conditionalFormatting sqref="C246">
    <cfRule type="cellIs" operator="notEqual" dxfId="508" priority="509">
      <formula>Round(D246+Sum(F246:G246),0)</formula>
    </cfRule>
  </conditionalFormatting>
  <conditionalFormatting sqref="H246">
    <cfRule type="cellIs" operator="notEqual" dxfId="509" priority="510">
      <formula>Round(I246+Sum(K246:L246),0)</formula>
    </cfRule>
  </conditionalFormatting>
  <conditionalFormatting sqref="C247">
    <cfRule type="cellIs" operator="notEqual" dxfId="510" priority="511">
      <formula>Round(D247+Sum(F247:G247),0)</formula>
    </cfRule>
  </conditionalFormatting>
  <conditionalFormatting sqref="H247">
    <cfRule type="cellIs" operator="notEqual" dxfId="511" priority="512">
      <formula>Round(I247+Sum(K247:L247),0)</formula>
    </cfRule>
  </conditionalFormatting>
  <conditionalFormatting sqref="C248">
    <cfRule type="cellIs" operator="notEqual" dxfId="512" priority="513">
      <formula>Round(D248+Sum(F248:G248),0)</formula>
    </cfRule>
  </conditionalFormatting>
  <conditionalFormatting sqref="H248">
    <cfRule type="cellIs" operator="notEqual" dxfId="513" priority="514">
      <formula>Round(I248+Sum(K248:L248),0)</formula>
    </cfRule>
  </conditionalFormatting>
  <conditionalFormatting sqref="C249">
    <cfRule type="cellIs" operator="notEqual" dxfId="514" priority="515">
      <formula>Round(D249+Sum(F249:G249),0)</formula>
    </cfRule>
  </conditionalFormatting>
  <conditionalFormatting sqref="H249">
    <cfRule type="cellIs" operator="notEqual" dxfId="515" priority="516">
      <formula>Round(I249+Sum(K249:L249),0)</formula>
    </cfRule>
  </conditionalFormatting>
  <conditionalFormatting sqref="C250">
    <cfRule type="cellIs" operator="notEqual" dxfId="516" priority="517">
      <formula>Round(D250+Sum(F250:G250),0)</formula>
    </cfRule>
  </conditionalFormatting>
  <conditionalFormatting sqref="H250">
    <cfRule type="cellIs" operator="notEqual" dxfId="517" priority="518">
      <formula>Round(I250+Sum(K250:L250),0)</formula>
    </cfRule>
  </conditionalFormatting>
  <conditionalFormatting sqref="C251">
    <cfRule type="cellIs" operator="notEqual" dxfId="518" priority="519">
      <formula>Round(D251+Sum(F251:G251),0)</formula>
    </cfRule>
  </conditionalFormatting>
  <conditionalFormatting sqref="H251">
    <cfRule type="cellIs" operator="notEqual" dxfId="519" priority="520">
      <formula>Round(I251+Sum(K251:L251),0)</formula>
    </cfRule>
  </conditionalFormatting>
  <conditionalFormatting sqref="C252">
    <cfRule type="cellIs" operator="notEqual" dxfId="520" priority="521">
      <formula>Round(D252+Sum(F252:G252),0)</formula>
    </cfRule>
  </conditionalFormatting>
  <conditionalFormatting sqref="H252">
    <cfRule type="cellIs" operator="notEqual" dxfId="521" priority="522">
      <formula>Round(I252+Sum(K252:L252),0)</formula>
    </cfRule>
  </conditionalFormatting>
  <conditionalFormatting sqref="C253">
    <cfRule type="cellIs" operator="notEqual" dxfId="522" priority="523">
      <formula>Round(D253+Sum(F253:G253),0)</formula>
    </cfRule>
  </conditionalFormatting>
  <conditionalFormatting sqref="H253">
    <cfRule type="cellIs" operator="notEqual" dxfId="523" priority="524">
      <formula>Round(I253+Sum(K253:L253),0)</formula>
    </cfRule>
  </conditionalFormatting>
  <conditionalFormatting sqref="C254">
    <cfRule type="cellIs" operator="notEqual" dxfId="524" priority="525">
      <formula>Round(D254+Sum(F254:G254),0)</formula>
    </cfRule>
  </conditionalFormatting>
  <conditionalFormatting sqref="H254">
    <cfRule type="cellIs" operator="notEqual" dxfId="525" priority="526">
      <formula>Round(I254+Sum(K254:L254),0)</formula>
    </cfRule>
  </conditionalFormatting>
  <conditionalFormatting sqref="C255">
    <cfRule type="cellIs" operator="notEqual" dxfId="526" priority="527">
      <formula>Round(D255+Sum(F255:G255),0)</formula>
    </cfRule>
  </conditionalFormatting>
  <conditionalFormatting sqref="H255">
    <cfRule type="cellIs" operator="notEqual" dxfId="527" priority="528">
      <formula>Round(I255+Sum(K255:L255),0)</formula>
    </cfRule>
  </conditionalFormatting>
  <conditionalFormatting sqref="C256">
    <cfRule type="cellIs" operator="notEqual" dxfId="528" priority="529">
      <formula>Round(D256+Sum(F256:G256),0)</formula>
    </cfRule>
  </conditionalFormatting>
  <conditionalFormatting sqref="H256">
    <cfRule type="cellIs" operator="notEqual" dxfId="529" priority="530">
      <formula>Round(I256+Sum(K256:L256),0)</formula>
    </cfRule>
  </conditionalFormatting>
  <conditionalFormatting sqref="C257">
    <cfRule type="cellIs" operator="notEqual" dxfId="530" priority="531">
      <formula>Round(D257+Sum(F257:G257),0)</formula>
    </cfRule>
  </conditionalFormatting>
  <conditionalFormatting sqref="H257">
    <cfRule type="cellIs" operator="notEqual" dxfId="531" priority="532">
      <formula>Round(I257+Sum(K257:L257),0)</formula>
    </cfRule>
  </conditionalFormatting>
  <conditionalFormatting sqref="C258">
    <cfRule type="cellIs" operator="notEqual" dxfId="532" priority="533">
      <formula>Round(D258+Sum(F258:G258),0)</formula>
    </cfRule>
  </conditionalFormatting>
  <conditionalFormatting sqref="H258">
    <cfRule type="cellIs" operator="notEqual" dxfId="533" priority="534">
      <formula>Round(I258+Sum(K258:L258),0)</formula>
    </cfRule>
  </conditionalFormatting>
  <conditionalFormatting sqref="C259">
    <cfRule type="cellIs" operator="notEqual" dxfId="534" priority="535">
      <formula>Round(D259+Sum(F259:G259),0)</formula>
    </cfRule>
  </conditionalFormatting>
  <conditionalFormatting sqref="H259">
    <cfRule type="cellIs" operator="notEqual" dxfId="535" priority="536">
      <formula>Round(I259+Sum(K259:L259),0)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xl/worksheets/sheet3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13" max="13" width="250.0" customWidth="true"/>
    <col min="1" max="1" width="65.24609375" customWidth="true"/>
    <col min="2" max="2" width="10.0" customWidth="true"/>
  </cols>
  <sheetData>
    <row r="1" customHeight="true" ht="50.0">
      <c r="A1" s="3" t="inlineStr">
        <is>
          <t>Раздел 2. Женщины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Число прибывших на постоянное жительство</t>
        </is>
      </c>
      <c r="D2" s="1"/>
      <c r="E2" s="1"/>
      <c r="F2" s="1"/>
      <c r="G2" s="1"/>
      <c r="H2" s="1" t="inlineStr">
        <is>
          <t>Число выбывших на постоянное жительство</t>
        </is>
      </c>
      <c r="I2" s="1"/>
      <c r="J2" s="1"/>
      <c r="K2" s="1"/>
      <c r="L2" s="1"/>
    </row>
    <row r="3">
      <c r="A3" s="1"/>
      <c r="B3" s="1"/>
      <c r="C3" s="1" t="inlineStr">
        <is>
          <t>Всего</t>
        </is>
      </c>
      <c r="D3" s="1" t="inlineStr">
        <is>
          <t>в том числе в возрасте</t>
        </is>
      </c>
      <c r="E3" s="1"/>
      <c r="F3" s="1"/>
      <c r="G3" s="1"/>
      <c r="H3" s="1" t="inlineStr">
        <is>
          <t>Всего</t>
        </is>
      </c>
      <c r="I3" s="1" t="inlineStr">
        <is>
          <t>в том числе в возрасте:</t>
        </is>
      </c>
      <c r="J3" s="1"/>
      <c r="K3" s="1"/>
      <c r="L3" s="1"/>
    </row>
    <row r="4">
      <c r="A4" s="1"/>
      <c r="B4" s="1"/>
      <c r="C4" s="1"/>
      <c r="D4" s="1" t="inlineStr">
        <is>
          <t>моложе трудоспособного</t>
        </is>
      </c>
      <c r="E4" s="1" t="inlineStr">
        <is>
          <t>15-29 лет</t>
        </is>
      </c>
      <c r="F4" s="1" t="inlineStr">
        <is>
          <t>трудоспособном</t>
        </is>
      </c>
      <c r="G4" s="1" t="inlineStr">
        <is>
          <t>старше трудоспособного</t>
        </is>
      </c>
      <c r="H4" s="1"/>
      <c r="I4" s="1" t="inlineStr">
        <is>
          <t>моложе трудоспособного</t>
        </is>
      </c>
      <c r="J4" s="1" t="inlineStr">
        <is>
          <t>15-29 лет</t>
        </is>
      </c>
      <c r="K4" s="1" t="inlineStr">
        <is>
          <t>трудоспособном</t>
        </is>
      </c>
      <c r="L4" s="1" t="inlineStr">
        <is>
          <t>старше трудоспособного</t>
        </is>
      </c>
    </row>
    <row r="5">
      <c r="A5" s="1"/>
      <c r="B5" s="1"/>
      <c r="C5" s="1" t="inlineStr">
        <is>
          <t>1</t>
        </is>
      </c>
      <c r="D5" s="1" t="inlineStr">
        <is>
          <t>2</t>
        </is>
      </c>
      <c r="E5" s="1" t="inlineStr">
        <is>
          <t>3</t>
        </is>
      </c>
      <c r="F5" s="1" t="inlineStr">
        <is>
          <t>4</t>
        </is>
      </c>
      <c r="G5" s="1" t="inlineStr">
        <is>
          <t>5</t>
        </is>
      </c>
      <c r="H5" s="1" t="inlineStr">
        <is>
          <t>6</t>
        </is>
      </c>
      <c r="I5" s="1" t="inlineStr">
        <is>
          <t>7</t>
        </is>
      </c>
      <c r="J5" s="1" t="inlineStr">
        <is>
          <t>8</t>
        </is>
      </c>
      <c r="K5" s="1" t="inlineStr">
        <is>
          <t>9</t>
        </is>
      </c>
      <c r="L5" s="1" t="inlineStr">
        <is>
          <t>10</t>
        </is>
      </c>
    </row>
    <row r="6" customHeight="true" ht="30.0">
      <c r="A6" s="5" t="inlineStr">
        <is>
          <t>Международная миграция. Женщины</t>
        </is>
      </c>
      <c r="B6" s="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customHeight="true" ht="30.0">
      <c r="A7" s="5" t="inlineStr">
        <is>
          <t>Всего</t>
        </is>
      </c>
      <c r="B7" s="1" t="inlineStr">
        <is>
          <t>254</t>
        </is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13">
        <f>IFERROR(If(C7=Round(C8+C20+C259,0)," "," Стр. 254, Гр. 1 [C7]  д.б. = [Окр(C8+C20+C259,0)] {" &amp; Round(C8+C20+C259,0) &amp; "}.")," ") &amp; IFERROR(If(C7=Round(D7+Sum(F7:G7),0)," "," Стр. 254, Гр. 1 [C7]  д.б. = [Окр(D7+Сум(F7:G7),0)] {" &amp; Round(D7+Sum(F7:G7),0) &amp; "}.")," ") &amp; IFERROR(If(H7=Round(I7+Sum(K7:L7),0)," "," Стр. 254, Гр. 6 [H7]  д.б. = [Окр(I7+Сум(K7:L7),0)] {" &amp; Round(I7+Sum(K7:L7),0) &amp; "}.")," ")</f>
        <v>0.0</v>
      </c>
    </row>
    <row r="8" customHeight="true" ht="30.0">
      <c r="A8" s="5" t="inlineStr">
        <is>
          <t>Страны - участники СНГ - всего</t>
        </is>
      </c>
      <c r="B8" s="1" t="inlineStr">
        <is>
          <t>255</t>
        </is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13">
        <f>IFERROR(If(C8=Round(D8+Sum(F8:G8),0)," "," Стр. 255, Гр. 1 [C8]  д.б. = [Окр(D8+Сум(F8:G8),0)] {" &amp; Round(D8+Sum(F8:G8),0) &amp; "}.")," ") &amp; IFERROR(If(C8=Round(Sum(C9:C19),0)," "," Стр. 255, Гр. 1 [C8]  д.б. = [Окр(Сум(C9:C19),0)] {" &amp; Round(Sum(C9:C19),0) &amp; "}.")," ") &amp; IFERROR(If(D8=Round(Sum(D9:D19),0)," "," Стр. 255, Гр. 2 [D8]  д.б. = [Окр(Сум(D9:D19),0)] {" &amp; Round(Sum(D9:D19),0) &amp; "}.")," ") &amp; IFERROR(If(E8=Round(Sum(E9:E19),0)," "," Стр. 255, Гр. 3 [E8]  д.б. = [Окр(Сум(E9:E19),0)] {" &amp; Round(Sum(E9:E19),0) &amp; "}.")," ") &amp; IFERROR(If(F8=Round(Sum(F9:F19),0)," "," Стр. 255, Гр. 4 [F8]  д.б. = [Окр(Сум(F9:F19),0)] {" &amp; Round(Sum(F9:F19),0) &amp; "}.")," ") &amp; IFERROR(If(G8=Round(Sum(G9:G19),0)," "," Стр. 255, Гр. 5 [G8]  д.б. = [Окр(Сум(G9:G19),0)] {" &amp; Round(Sum(G9:G19),0) &amp; "}.")," ") &amp; IFERROR(If(H8=Round(I8+Sum(K8:L8),0)," "," Стр. 255, Гр. 6 [H8]  д.б. = [Окр(I8+Сум(K8:L8),0)] {" &amp; Round(I8+Sum(K8:L8),0) &amp; "}.")," ") &amp; IFERROR(If(H8=Round(Sum(H9:H19),0)," "," Стр. 255, Гр. 6 [H8]  д.б. = [Окр(Сум(H9:H19),0)] {" &amp; Round(Sum(H9:H19),0) &amp; "}.")," ") &amp; IFERROR(If(I8=Round(Sum(I9:I19),0)," "," Стр. 255, Гр. 7 [I8]  д.б. = [Окр(Сум(I9:I19),0)] {" &amp; Round(Sum(I9:I19),0) &amp; "}.")," ") &amp; IFERROR(If(J8=Round(Sum(J9:J19),0)," "," Стр. 255, Гр. 8 [J8]  д.б. = [Окр(Сум(J9:J19),0)] {" &amp; Round(Sum(J9:J19),0) &amp; "}.")," ") &amp; IFERROR(If(K8=Round(Sum(K9:K19),0)," "," Стр. 255, Гр. 9 [K8]  д.б. = [Окр(Сум(K9:K19),0)] {" &amp; Round(Sum(K9:K19),0) &amp; "}.")," ") &amp; IFERROR(If(L8=Round(Sum(L9:L19),0)," "," Стр. 255, Гр. 10 [L8]  д.б. = [Окр(Сум(L9:L19),0)] {" &amp; Round(Sum(L9:L19),0) &amp; "}.")," ")</f>
        <v>0.0</v>
      </c>
    </row>
    <row r="9" customHeight="true" ht="30.0">
      <c r="A9" s="5" t="inlineStr">
        <is>
          <t>Азербайджан</t>
        </is>
      </c>
      <c r="B9" s="1" t="inlineStr">
        <is>
          <t>256</t>
        </is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13">
        <f>IFERROR(If(C9=Round(D9+Sum(F9:G9),0)," "," Стр. 256, Гр. 1 [C9]  д.б. = [Окр(D9+Сум(F9:G9),0)] {" &amp; Round(D9+Sum(F9:G9),0) &amp; "}.")," ") &amp; IFERROR(If(H9=Round(I9+Sum(K9:L9),0)," "," Стр. 256, Гр. 6 [H9]  д.б. = [Окр(I9+Сум(K9:L9),0)] {" &amp; Round(I9+Sum(K9:L9),0) &amp; "}.")," ")</f>
        <v>0.0</v>
      </c>
    </row>
    <row r="10" customHeight="true" ht="30.0">
      <c r="A10" s="5" t="inlineStr">
        <is>
          <t>Армения</t>
        </is>
      </c>
      <c r="B10" s="1" t="inlineStr">
        <is>
          <t>257</t>
        </is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3">
        <f>IFERROR(If(C10=Round(D10+Sum(F10:G10),0)," "," Стр. 257, Гр. 1 [C10]  д.б. = [Окр(D10+Сум(F10:G10),0)] {" &amp; Round(D10+Sum(F10:G10),0) &amp; "}.")," ") &amp; IFERROR(If(H10=Round(I10+Sum(K10:L10),0)," "," Стр. 257, Гр. 6 [H10]  д.б. = [Окр(I10+Сум(K10:L10),0)] {" &amp; Round(I10+Sum(K10:L10),0) &amp; "}.")," ")</f>
        <v>0.0</v>
      </c>
    </row>
    <row r="11" customHeight="true" ht="30.0">
      <c r="A11" s="5" t="inlineStr">
        <is>
          <t>Беларусь</t>
        </is>
      </c>
      <c r="B11" s="1" t="inlineStr">
        <is>
          <t>258</t>
        </is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13">
        <f>IFERROR(If(C11=Round(D11+Sum(F11:G11),0)," "," Стр. 258, Гр. 1 [C11]  д.б. = [Окр(D11+Сум(F11:G11),0)] {" &amp; Round(D11+Sum(F11:G11),0) &amp; "}.")," ") &amp; IFERROR(If(H11=Round(I11+Sum(K11:L11),0)," "," Стр. 258, Гр. 6 [H11]  д.б. = [Окр(I11+Сум(K11:L11),0)] {" &amp; Round(I11+Sum(K11:L11),0) &amp; "}.")," ")</f>
        <v>0.0</v>
      </c>
    </row>
    <row r="12" customHeight="true" ht="30.0">
      <c r="A12" s="5" t="inlineStr">
        <is>
          <t>Казахстан</t>
        </is>
      </c>
      <c r="B12" s="1" t="inlineStr">
        <is>
          <t>259</t>
        </is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13">
        <f>IFERROR(If(C12=Round(D12+Sum(F12:G12),0)," "," Стр. 259, Гр. 1 [C12]  д.б. = [Окр(D12+Сум(F12:G12),0)] {" &amp; Round(D12+Sum(F12:G12),0) &amp; "}.")," ") &amp; IFERROR(If(H12=Round(I12+Sum(K12:L12),0)," "," Стр. 259, Гр. 6 [H12]  д.б. = [Окр(I12+Сум(K12:L12),0)] {" &amp; Round(I12+Sum(K12:L12),0) &amp; "}.")," ")</f>
        <v>0.0</v>
      </c>
    </row>
    <row r="13" customHeight="true" ht="30.0">
      <c r="A13" s="5" t="inlineStr">
        <is>
          <t>Кыргызстан</t>
        </is>
      </c>
      <c r="B13" s="1" t="inlineStr">
        <is>
          <t>260</t>
        </is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3">
        <f>IFERROR(If(C13=Round(D13+Sum(F13:G13),0)," "," Стр. 260, Гр. 1 [C13]  д.б. = [Окр(D13+Сум(F13:G13),0)] {" &amp; Round(D13+Sum(F13:G13),0) &amp; "}.")," ") &amp; IFERROR(If(H13=Round(I13+Sum(K13:L13),0)," "," Стр. 260, Гр. 6 [H13]  д.б. = [Окр(I13+Сум(K13:L13),0)] {" &amp; Round(I13+Sum(K13:L13),0) &amp; "}.")," ")</f>
        <v>0.0</v>
      </c>
    </row>
    <row r="14" customHeight="true" ht="30.0">
      <c r="A14" s="5" t="inlineStr">
        <is>
          <t>Молдова</t>
        </is>
      </c>
      <c r="B14" s="1" t="inlineStr">
        <is>
          <t>261</t>
        </is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3">
        <f>IFERROR(If(C14=Round(D14+Sum(F14:G14),0)," "," Стр. 261, Гр. 1 [C14]  д.б. = [Окр(D14+Сум(F14:G14),0)] {" &amp; Round(D14+Sum(F14:G14),0) &amp; "}.")," ") &amp; IFERROR(If(H14=Round(I14+Sum(K14:L14),0)," "," Стр. 261, Гр. 6 [H14]  д.б. = [Окр(I14+Сум(K14:L14),0)] {" &amp; Round(I14+Sum(K14:L14),0) &amp; "}.")," ")</f>
        <v>0.0</v>
      </c>
    </row>
    <row r="15" customHeight="true" ht="30.0">
      <c r="A15" s="5" t="inlineStr">
        <is>
          <t>Россия</t>
        </is>
      </c>
      <c r="B15" s="1" t="inlineStr">
        <is>
          <t>262</t>
        </is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13">
        <f>IFERROR(If(C15=Round(D15+Sum(F15:G15),0)," "," Стр. 262, Гр. 1 [C15]  д.б. = [Окр(D15+Сум(F15:G15),0)] {" &amp; Round(D15+Sum(F15:G15),0) &amp; "}.")," ") &amp; IFERROR(If(H15=Round(I15+Sum(K15:L15),0)," "," Стр. 262, Гр. 6 [H15]  д.б. = [Окр(I15+Сум(K15:L15),0)] {" &amp; Round(I15+Sum(K15:L15),0) &amp; "}.")," ")</f>
        <v>0.0</v>
      </c>
    </row>
    <row r="16" customHeight="true" ht="30.0">
      <c r="A16" s="5" t="inlineStr">
        <is>
          <t>Таджикистан</t>
        </is>
      </c>
      <c r="B16" s="1" t="inlineStr">
        <is>
          <t>263</t>
        </is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13">
        <f>IFERROR(If(C16=Round(D16+Sum(F16:G16),0)," "," Стр. 263, Гр. 1 [C16]  д.б. = [Окр(D16+Сум(F16:G16),0)] {" &amp; Round(D16+Sum(F16:G16),0) &amp; "}.")," ") &amp; IFERROR(If(H16=Round(I16+Sum(K16:L16),0)," "," Стр. 263, Гр. 6 [H16]  д.б. = [Окр(I16+Сум(K16:L16),0)] {" &amp; Round(I16+Sum(K16:L16),0) &amp; "}.")," ")</f>
        <v>0.0</v>
      </c>
    </row>
    <row r="17" customHeight="true" ht="30.0">
      <c r="A17" s="5" t="inlineStr">
        <is>
          <t>Туркменистан</t>
        </is>
      </c>
      <c r="B17" s="1" t="inlineStr">
        <is>
          <t>264</t>
        </is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3">
        <f>IFERROR(If(C17=Round(D17+Sum(F17:G17),0)," "," Стр. 264, Гр. 1 [C17]  д.б. = [Окр(D17+Сум(F17:G17),0)] {" &amp; Round(D17+Sum(F17:G17),0) &amp; "}.")," ") &amp; IFERROR(If(H17=Round(I17+Sum(K17:L17),0)," "," Стр. 264, Гр. 6 [H17]  д.б. = [Окр(I17+Сум(K17:L17),0)] {" &amp; Round(I17+Sum(K17:L17),0) &amp; "}.")," ")</f>
        <v>0.0</v>
      </c>
    </row>
    <row r="18" customHeight="true" ht="30.0">
      <c r="A18" s="5" t="inlineStr">
        <is>
          <t>Узбекистан</t>
        </is>
      </c>
      <c r="B18" s="1" t="inlineStr">
        <is>
          <t>265</t>
        </is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13">
        <f>IFERROR(If(C18=Round(D18+Sum(F18:G18),0)," "," Стр. 265, Гр. 1 [C18]  д.б. = [Окр(D18+Сум(F18:G18),0)] {" &amp; Round(D18+Sum(F18:G18),0) &amp; "}.")," ") &amp; IFERROR(If(H18=Round(I18+Sum(K18:L18),0)," "," Стр. 265, Гр. 6 [H18]  д.б. = [Окр(I18+Сум(K18:L18),0)] {" &amp; Round(I18+Sum(K18:L18),0) &amp; "}.")," ")</f>
        <v>0.0</v>
      </c>
    </row>
    <row r="19" customHeight="true" ht="30.0">
      <c r="A19" s="5" t="inlineStr">
        <is>
          <t>Украина</t>
        </is>
      </c>
      <c r="B19" s="1" t="inlineStr">
        <is>
          <t>266</t>
        </is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13">
        <f>IFERROR(If(C19=Round(D19+Sum(F19:G19),0)," "," Стр. 266, Гр. 1 [C19]  д.б. = [Окр(D19+Сум(F19:G19),0)] {" &amp; Round(D19+Sum(F19:G19),0) &amp; "}.")," ") &amp; IFERROR(If(H19=Round(I19+Sum(K19:L19),0)," "," Стр. 266, Гр. 6 [H19]  д.б. = [Окр(I19+Сум(K19:L19),0)] {" &amp; Round(I19+Sum(K19:L19),0) &amp; "}.")," ")</f>
        <v>0.0</v>
      </c>
    </row>
    <row r="20" customHeight="true" ht="30.0">
      <c r="A20" s="5" t="inlineStr">
        <is>
          <t>Другие зарубежные страны - всего</t>
        </is>
      </c>
      <c r="B20" s="1" t="inlineStr">
        <is>
          <t>267</t>
        </is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13">
        <f>IFERROR(If(C20=Round(D20+Sum(F20:G20),0)," "," Стр. 267, Гр. 1 [C20]  д.б. = [Окр(D20+Сум(F20:G20),0)] {" &amp; Round(D20+Sum(F20:G20),0) &amp; "}.")," ") &amp; IFERROR(If(C20=Round(Sum(C21:C258),0)," "," Стр. 267, Гр. 1 [C20]  д.б. = [Окр(Сум(C21:C258),0)] {" &amp; Round(Sum(C21:C258),0) &amp; "}.")," ") &amp; IFERROR(If(D20=Round(Sum(D21:D258),0)," "," Стр. 267, Гр. 2 [D20]  д.б. = [Окр(Сум(D21:D258),0)] {" &amp; Round(Sum(D21:D258),0) &amp; "}.")," ") &amp; IFERROR(If(E20=Round(Sum(E21:E258),0)," "," Стр. 267, Гр. 3 [E20]  д.б. = [Окр(Сум(E21:E258),0)] {" &amp; Round(Sum(E21:E258),0) &amp; "}.")," ") &amp; IFERROR(If(F20=Round(Sum(F21:F258),0)," "," Стр. 267, Гр. 4 [F20]  д.б. = [Окр(Сум(F21:F258),0)] {" &amp; Round(Sum(F21:F258),0) &amp; "}.")," ") &amp; IFERROR(If(G20=Round(Sum(G21:G258),0)," "," Стр. 267, Гр. 5 [G20]  д.б. = [Окр(Сум(G21:G258),0)] {" &amp; Round(Sum(G21:G258),0) &amp; "}.")," ") &amp; IFERROR(If(H20=Round(I20+Sum(K20:L20),0)," "," Стр. 267, Гр. 6 [H20]  д.б. = [Окр(I20+Сум(K20:L20),0)] {" &amp; Round(I20+Sum(K20:L20),0) &amp; "}.")," ") &amp; IFERROR(If(H20=Round(Sum(H21:H258),0)," "," Стр. 267, Гр. 6 [H20]  д.б. = [Окр(Сум(H21:H258),0)] {" &amp; Round(Sum(H21:H258),0) &amp; "}.")," ") &amp; IFERROR(If(I20=Round(Sum(I21:I258),0)," "," Стр. 267, Гр. 7 [I20]  д.б. = [Окр(Сум(I21:I258),0)] {" &amp; Round(Sum(I21:I258),0) &amp; "}.")," ") &amp; IFERROR(If(J20=Round(Sum(J21:J258),0)," "," Стр. 267, Гр. 8 [J20]  д.б. = [Окр(Сум(J21:J258),0)] {" &amp; Round(Sum(J21:J258),0) &amp; "}.")," ") &amp; IFERROR(If(K20=Round(Sum(K21:K258),0)," "," Стр. 267, Гр. 9 [K20]  д.б. = [Окр(Сум(K21:K258),0)] {" &amp; Round(Sum(K21:K258),0) &amp; "}.")," ") &amp; IFERROR(If(L20=Round(Sum(L21:L258),0)," "," Стр. 267, Гр. 10 [L20]  д.б. = [Окр(Сум(L21:L258),0)] {" &amp; Round(Sum(L21:L258),0) &amp; "}.")," ")</f>
        <v>0.0</v>
      </c>
    </row>
    <row r="21" customHeight="true" ht="30.0">
      <c r="A21" s="5" t="inlineStr">
        <is>
          <t>Афганистан</t>
        </is>
      </c>
      <c r="B21" s="1" t="inlineStr">
        <is>
          <t>268</t>
        </is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13">
        <f>IFERROR(If(C21=Round(D21+Sum(F21:G21),0)," "," Стр. 268, Гр. 1 [C21]  д.б. = [Окр(D21+Сум(F21:G21),0)] {" &amp; Round(D21+Sum(F21:G21),0) &amp; "}.")," ") &amp; IFERROR(If(H21=Round(I21+Sum(K21:L21),0)," "," Стр. 268, Гр. 6 [H21]  д.б. = [Окр(I21+Сум(K21:L21),0)] {" &amp; Round(I21+Sum(K21:L21),0) &amp; "}.")," ")</f>
        <v>0.0</v>
      </c>
    </row>
    <row r="22" customHeight="true" ht="30.0">
      <c r="A22" s="5" t="inlineStr">
        <is>
          <t>Албания</t>
        </is>
      </c>
      <c r="B22" s="1" t="inlineStr">
        <is>
          <t>269</t>
        </is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13">
        <f>IFERROR(If(C22=Round(D22+Sum(F22:G22),0)," "," Стр. 269, Гр. 1 [C22]  д.б. = [Окр(D22+Сум(F22:G22),0)] {" &amp; Round(D22+Sum(F22:G22),0) &amp; "}.")," ") &amp; IFERROR(If(H22=Round(I22+Sum(K22:L22),0)," "," Стр. 269, Гр. 6 [H22]  д.б. = [Окр(I22+Сум(K22:L22),0)] {" &amp; Round(I22+Sum(K22:L22),0) &amp; "}.")," ")</f>
        <v>0.0</v>
      </c>
    </row>
    <row r="23" customHeight="true" ht="30.0">
      <c r="A23" s="5" t="inlineStr">
        <is>
          <t>Антарктида</t>
        </is>
      </c>
      <c r="B23" s="1" t="inlineStr">
        <is>
          <t>270</t>
        </is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3">
        <f>IFERROR(If(C23=Round(D23+Sum(F23:G23),0)," "," Стр. 270, Гр. 1 [C23]  д.б. = [Окр(D23+Сум(F23:G23),0)] {" &amp; Round(D23+Sum(F23:G23),0) &amp; "}.")," ") &amp; IFERROR(If(H23=Round(I23+Sum(K23:L23),0)," "," Стр. 270, Гр. 6 [H23]  д.б. = [Окр(I23+Сум(K23:L23),0)] {" &amp; Round(I23+Sum(K23:L23),0) &amp; "}.")," ")</f>
        <v>0.0</v>
      </c>
    </row>
    <row r="24" customHeight="true" ht="30.0">
      <c r="A24" s="5" t="inlineStr">
        <is>
          <t>Алжир</t>
        </is>
      </c>
      <c r="B24" s="1" t="inlineStr">
        <is>
          <t>271</t>
        </is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13">
        <f>IFERROR(If(C24=Round(D24+Sum(F24:G24),0)," "," Стр. 271, Гр. 1 [C24]  д.б. = [Окр(D24+Сум(F24:G24),0)] {" &amp; Round(D24+Sum(F24:G24),0) &amp; "}.")," ") &amp; IFERROR(If(H24=Round(I24+Sum(K24:L24),0)," "," Стр. 271, Гр. 6 [H24]  д.б. = [Окр(I24+Сум(K24:L24),0)] {" &amp; Round(I24+Sum(K24:L24),0) &amp; "}.")," ")</f>
        <v>0.0</v>
      </c>
    </row>
    <row r="25" customHeight="true" ht="30.0">
      <c r="A25" s="5" t="inlineStr">
        <is>
          <t>Американское Самоа</t>
        </is>
      </c>
      <c r="B25" s="1" t="inlineStr">
        <is>
          <t>272</t>
        </is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13">
        <f>IFERROR(If(C25=Round(D25+Sum(F25:G25),0)," "," Стр. 272, Гр. 1 [C25]  д.б. = [Окр(D25+Сум(F25:G25),0)] {" &amp; Round(D25+Sum(F25:G25),0) &amp; "}.")," ") &amp; IFERROR(If(H25=Round(I25+Sum(K25:L25),0)," "," Стр. 272, Гр. 6 [H25]  д.б. = [Окр(I25+Сум(K25:L25),0)] {" &amp; Round(I25+Sum(K25:L25),0) &amp; "}.")," ")</f>
        <v>0.0</v>
      </c>
    </row>
    <row r="26" customHeight="true" ht="30.0">
      <c r="A26" s="5" t="inlineStr">
        <is>
          <t>Андорра</t>
        </is>
      </c>
      <c r="B26" s="1" t="inlineStr">
        <is>
          <t>273</t>
        </is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13">
        <f>IFERROR(If(C26=Round(D26+Sum(F26:G26),0)," "," Стр. 273, Гр. 1 [C26]  д.б. = [Окр(D26+Сум(F26:G26),0)] {" &amp; Round(D26+Sum(F26:G26),0) &amp; "}.")," ") &amp; IFERROR(If(H26=Round(I26+Sum(K26:L26),0)," "," Стр. 273, Гр. 6 [H26]  д.б. = [Окр(I26+Сум(K26:L26),0)] {" &amp; Round(I26+Sum(K26:L26),0) &amp; "}.")," ")</f>
        <v>0.0</v>
      </c>
    </row>
    <row r="27" customHeight="true" ht="30.0">
      <c r="A27" s="5" t="inlineStr">
        <is>
          <t>Ангола</t>
        </is>
      </c>
      <c r="B27" s="1" t="inlineStr">
        <is>
          <t>274</t>
        </is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13">
        <f>IFERROR(If(C27=Round(D27+Sum(F27:G27),0)," "," Стр. 274, Гр. 1 [C27]  д.б. = [Окр(D27+Сум(F27:G27),0)] {" &amp; Round(D27+Sum(F27:G27),0) &amp; "}.")," ") &amp; IFERROR(If(H27=Round(I27+Sum(K27:L27),0)," "," Стр. 274, Гр. 6 [H27]  д.б. = [Окр(I27+Сум(K27:L27),0)] {" &amp; Round(I27+Sum(K27:L27),0) &amp; "}.")," ")</f>
        <v>0.0</v>
      </c>
    </row>
    <row r="28" customHeight="true" ht="30.0">
      <c r="A28" s="5" t="inlineStr">
        <is>
          <t>Антигуа и Барбуда</t>
        </is>
      </c>
      <c r="B28" s="1" t="inlineStr">
        <is>
          <t>275</t>
        </is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13">
        <f>IFERROR(If(C28=Round(D28+Sum(F28:G28),0)," "," Стр. 275, Гр. 1 [C28]  д.б. = [Окр(D28+Сум(F28:G28),0)] {" &amp; Round(D28+Sum(F28:G28),0) &amp; "}.")," ") &amp; IFERROR(If(H28=Round(I28+Sum(K28:L28),0)," "," Стр. 275, Гр. 6 [H28]  д.б. = [Окр(I28+Сум(K28:L28),0)] {" &amp; Round(I28+Sum(K28:L28),0) &amp; "}.")," ")</f>
        <v>0.0</v>
      </c>
    </row>
    <row r="29" customHeight="true" ht="30.0">
      <c r="A29" s="5" t="inlineStr">
        <is>
          <t>Аргентина</t>
        </is>
      </c>
      <c r="B29" s="1" t="inlineStr">
        <is>
          <t>276</t>
        </is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13">
        <f>IFERROR(If(C29=Round(D29+Sum(F29:G29),0)," "," Стр. 276, Гр. 1 [C29]  д.б. = [Окр(D29+Сум(F29:G29),0)] {" &amp; Round(D29+Sum(F29:G29),0) &amp; "}.")," ") &amp; IFERROR(If(H29=Round(I29+Sum(K29:L29),0)," "," Стр. 276, Гр. 6 [H29]  д.б. = [Окр(I29+Сум(K29:L29),0)] {" &amp; Round(I29+Sum(K29:L29),0) &amp; "}.")," ")</f>
        <v>0.0</v>
      </c>
    </row>
    <row r="30" customHeight="true" ht="30.0">
      <c r="A30" s="5" t="inlineStr">
        <is>
          <t>Австралия</t>
        </is>
      </c>
      <c r="B30" s="1" t="inlineStr">
        <is>
          <t>277</t>
        </is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3">
        <f>IFERROR(If(C30=Round(D30+Sum(F30:G30),0)," "," Стр. 277, Гр. 1 [C30]  д.б. = [Окр(D30+Сум(F30:G30),0)] {" &amp; Round(D30+Sum(F30:G30),0) &amp; "}.")," ") &amp; IFERROR(If(H30=Round(I30+Sum(K30:L30),0)," "," Стр. 277, Гр. 6 [H30]  д.б. = [Окр(I30+Сум(K30:L30),0)] {" &amp; Round(I30+Sum(K30:L30),0) &amp; "}.")," ")</f>
        <v>0.0</v>
      </c>
    </row>
    <row r="31" customHeight="true" ht="30.0">
      <c r="A31" s="5" t="inlineStr">
        <is>
          <t>Австрия</t>
        </is>
      </c>
      <c r="B31" s="1" t="inlineStr">
        <is>
          <t>278</t>
        </is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13">
        <f>IFERROR(If(C31=Round(D31+Sum(F31:G31),0)," "," Стр. 278, Гр. 1 [C31]  д.б. = [Окр(D31+Сум(F31:G31),0)] {" &amp; Round(D31+Sum(F31:G31),0) &amp; "}.")," ") &amp; IFERROR(If(H31=Round(I31+Sum(K31:L31),0)," "," Стр. 278, Гр. 6 [H31]  д.б. = [Окр(I31+Сум(K31:L31),0)] {" &amp; Round(I31+Sum(K31:L31),0) &amp; "}.")," ")</f>
        <v>0.0</v>
      </c>
    </row>
    <row r="32" customHeight="true" ht="30.0">
      <c r="A32" s="5" t="inlineStr">
        <is>
          <t>Багамы</t>
        </is>
      </c>
      <c r="B32" s="1" t="inlineStr">
        <is>
          <t>279</t>
        </is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13">
        <f>IFERROR(If(C32=Round(D32+Sum(F32:G32),0)," "," Стр. 279, Гр. 1 [C32]  д.б. = [Окр(D32+Сум(F32:G32),0)] {" &amp; Round(D32+Sum(F32:G32),0) &amp; "}.")," ") &amp; IFERROR(If(H32=Round(I32+Sum(K32:L32),0)," "," Стр. 279, Гр. 6 [H32]  д.б. = [Окр(I32+Сум(K32:L32),0)] {" &amp; Round(I32+Sum(K32:L32),0) &amp; "}.")," ")</f>
        <v>0.0</v>
      </c>
    </row>
    <row r="33" customHeight="true" ht="30.0">
      <c r="A33" s="5" t="inlineStr">
        <is>
          <t>Бахрейн</t>
        </is>
      </c>
      <c r="B33" s="1" t="inlineStr">
        <is>
          <t>280</t>
        </is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13">
        <f>IFERROR(If(C33=Round(D33+Sum(F33:G33),0)," "," Стр. 280, Гр. 1 [C33]  д.б. = [Окр(D33+Сум(F33:G33),0)] {" &amp; Round(D33+Sum(F33:G33),0) &amp; "}.")," ") &amp; IFERROR(If(H33=Round(I33+Sum(K33:L33),0)," "," Стр. 280, Гр. 6 [H33]  д.б. = [Окр(I33+Сум(K33:L33),0)] {" &amp; Round(I33+Sum(K33:L33),0) &amp; "}.")," ")</f>
        <v>0.0</v>
      </c>
    </row>
    <row r="34" customHeight="true" ht="30.0">
      <c r="A34" s="5" t="inlineStr">
        <is>
          <t>Бангладеш</t>
        </is>
      </c>
      <c r="B34" s="1" t="inlineStr">
        <is>
          <t>281</t>
        </is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13">
        <f>IFERROR(If(C34=Round(D34+Sum(F34:G34),0)," "," Стр. 281, Гр. 1 [C34]  д.б. = [Окр(D34+Сум(F34:G34),0)] {" &amp; Round(D34+Sum(F34:G34),0) &amp; "}.")," ") &amp; IFERROR(If(H34=Round(I34+Sum(K34:L34),0)," "," Стр. 281, Гр. 6 [H34]  д.б. = [Окр(I34+Сум(K34:L34),0)] {" &amp; Round(I34+Sum(K34:L34),0) &amp; "}.")," ")</f>
        <v>0.0</v>
      </c>
    </row>
    <row r="35" customHeight="true" ht="30.0">
      <c r="A35" s="5" t="inlineStr">
        <is>
          <t>Барбадос</t>
        </is>
      </c>
      <c r="B35" s="1" t="inlineStr">
        <is>
          <t>282</t>
        </is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13">
        <f>IFERROR(If(C35=Round(D35+Sum(F35:G35),0)," "," Стр. 282, Гр. 1 [C35]  д.б. = [Окр(D35+Сум(F35:G35),0)] {" &amp; Round(D35+Sum(F35:G35),0) &amp; "}.")," ") &amp; IFERROR(If(H35=Round(I35+Sum(K35:L35),0)," "," Стр. 282, Гр. 6 [H35]  д.б. = [Окр(I35+Сум(K35:L35),0)] {" &amp; Round(I35+Sum(K35:L35),0) &amp; "}.")," ")</f>
        <v>0.0</v>
      </c>
    </row>
    <row r="36" customHeight="true" ht="30.0">
      <c r="A36" s="5" t="inlineStr">
        <is>
          <t>Бельгия</t>
        </is>
      </c>
      <c r="B36" s="1" t="inlineStr">
        <is>
          <t>283</t>
        </is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13">
        <f>IFERROR(If(C36=Round(D36+Sum(F36:G36),0)," "," Стр. 283, Гр. 1 [C36]  д.б. = [Окр(D36+Сум(F36:G36),0)] {" &amp; Round(D36+Sum(F36:G36),0) &amp; "}.")," ") &amp; IFERROR(If(H36=Round(I36+Sum(K36:L36),0)," "," Стр. 283, Гр. 6 [H36]  д.б. = [Окр(I36+Сум(K36:L36),0)] {" &amp; Round(I36+Sum(K36:L36),0) &amp; "}.")," ")</f>
        <v>0.0</v>
      </c>
    </row>
    <row r="37" customHeight="true" ht="30.0">
      <c r="A37" s="5" t="inlineStr">
        <is>
          <t>Бермуды</t>
        </is>
      </c>
      <c r="B37" s="1" t="inlineStr">
        <is>
          <t>284</t>
        </is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13">
        <f>IFERROR(If(C37=Round(D37+Sum(F37:G37),0)," "," Стр. 284, Гр. 1 [C37]  д.б. = [Окр(D37+Сум(F37:G37),0)] {" &amp; Round(D37+Sum(F37:G37),0) &amp; "}.")," ") &amp; IFERROR(If(H37=Round(I37+Sum(K37:L37),0)," "," Стр. 284, Гр. 6 [H37]  д.б. = [Окр(I37+Сум(K37:L37),0)] {" &amp; Round(I37+Sum(K37:L37),0) &amp; "}.")," ")</f>
        <v>0.0</v>
      </c>
    </row>
    <row r="38" customHeight="true" ht="30.0">
      <c r="A38" s="5" t="inlineStr">
        <is>
          <t>Бутан</t>
        </is>
      </c>
      <c r="B38" s="1" t="inlineStr">
        <is>
          <t>285</t>
        </is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13">
        <f>IFERROR(If(C38=Round(D38+Sum(F38:G38),0)," "," Стр. 285, Гр. 1 [C38]  д.б. = [Окр(D38+Сум(F38:G38),0)] {" &amp; Round(D38+Sum(F38:G38),0) &amp; "}.")," ") &amp; IFERROR(If(H38=Round(I38+Sum(K38:L38),0)," "," Стр. 285, Гр. 6 [H38]  д.б. = [Окр(I38+Сум(K38:L38),0)] {" &amp; Round(I38+Sum(K38:L38),0) &amp; "}.")," ")</f>
        <v>0.0</v>
      </c>
    </row>
    <row r="39" customHeight="true" ht="30.0">
      <c r="A39" s="5" t="inlineStr">
        <is>
          <t>Боливия, Многонациональное Государство</t>
        </is>
      </c>
      <c r="B39" s="1" t="inlineStr">
        <is>
          <t>286</t>
        </is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13">
        <f>IFERROR(If(C39=Round(D39+Sum(F39:G39),0)," "," Стр. 286, Гр. 1 [C39]  д.б. = [Окр(D39+Сум(F39:G39),0)] {" &amp; Round(D39+Sum(F39:G39),0) &amp; "}.")," ") &amp; IFERROR(If(H39=Round(I39+Sum(K39:L39),0)," "," Стр. 286, Гр. 6 [H39]  д.б. = [Окр(I39+Сум(K39:L39),0)] {" &amp; Round(I39+Sum(K39:L39),0) &amp; "}.")," ")</f>
        <v>0.0</v>
      </c>
    </row>
    <row r="40" customHeight="true" ht="30.0">
      <c r="A40" s="5" t="inlineStr">
        <is>
          <t>Босния и Герцеговина</t>
        </is>
      </c>
      <c r="B40" s="1" t="inlineStr">
        <is>
          <t>287</t>
        </is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3">
        <f>IFERROR(If(C40=Round(D40+Sum(F40:G40),0)," "," Стр. 287, Гр. 1 [C40]  д.б. = [Окр(D40+Сум(F40:G40),0)] {" &amp; Round(D40+Sum(F40:G40),0) &amp; "}.")," ") &amp; IFERROR(If(H40=Round(I40+Sum(K40:L40),0)," "," Стр. 287, Гр. 6 [H40]  д.б. = [Окр(I40+Сум(K40:L40),0)] {" &amp; Round(I40+Sum(K40:L40),0) &amp; "}.")," ")</f>
        <v>0.0</v>
      </c>
    </row>
    <row r="41" customHeight="true" ht="30.0">
      <c r="A41" s="5" t="inlineStr">
        <is>
          <t>Ботсвана</t>
        </is>
      </c>
      <c r="B41" s="1" t="inlineStr">
        <is>
          <t>288</t>
        </is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13">
        <f>IFERROR(If(C41=Round(D41+Sum(F41:G41),0)," "," Стр. 288, Гр. 1 [C41]  д.б. = [Окр(D41+Сум(F41:G41),0)] {" &amp; Round(D41+Sum(F41:G41),0) &amp; "}.")," ") &amp; IFERROR(If(H41=Round(I41+Sum(K41:L41),0)," "," Стр. 288, Гр. 6 [H41]  д.б. = [Окр(I41+Сум(K41:L41),0)] {" &amp; Round(I41+Sum(K41:L41),0) &amp; "}.")," ")</f>
        <v>0.0</v>
      </c>
    </row>
    <row r="42" customHeight="true" ht="30.0">
      <c r="A42" s="5" t="inlineStr">
        <is>
          <t>Остров Буве</t>
        </is>
      </c>
      <c r="B42" s="1" t="inlineStr">
        <is>
          <t>289</t>
        </is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13">
        <f>IFERROR(If(C42=Round(D42+Sum(F42:G42),0)," "," Стр. 289, Гр. 1 [C42]  д.б. = [Окр(D42+Сум(F42:G42),0)] {" &amp; Round(D42+Sum(F42:G42),0) &amp; "}.")," ") &amp; IFERROR(If(H42=Round(I42+Sum(K42:L42),0)," "," Стр. 289, Гр. 6 [H42]  д.б. = [Окр(I42+Сум(K42:L42),0)] {" &amp; Round(I42+Sum(K42:L42),0) &amp; "}.")," ")</f>
        <v>0.0</v>
      </c>
    </row>
    <row r="43" customHeight="true" ht="30.0">
      <c r="A43" s="5" t="inlineStr">
        <is>
          <t>Бразилия</t>
        </is>
      </c>
      <c r="B43" s="1" t="inlineStr">
        <is>
          <t>290</t>
        </is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13">
        <f>IFERROR(If(C43=Round(D43+Sum(F43:G43),0)," "," Стр. 290, Гр. 1 [C43]  д.б. = [Окр(D43+Сум(F43:G43),0)] {" &amp; Round(D43+Sum(F43:G43),0) &amp; "}.")," ") &amp; IFERROR(If(H43=Round(I43+Sum(K43:L43),0)," "," Стр. 290, Гр. 6 [H43]  д.б. = [Окр(I43+Сум(K43:L43),0)] {" &amp; Round(I43+Sum(K43:L43),0) &amp; "}.")," ")</f>
        <v>0.0</v>
      </c>
    </row>
    <row r="44" customHeight="true" ht="30.0">
      <c r="A44" s="5" t="inlineStr">
        <is>
          <t>Белиз</t>
        </is>
      </c>
      <c r="B44" s="1" t="inlineStr">
        <is>
          <t>291</t>
        </is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13">
        <f>IFERROR(If(C44=Round(D44+Sum(F44:G44),0)," "," Стр. 291, Гр. 1 [C44]  д.б. = [Окр(D44+Сум(F44:G44),0)] {" &amp; Round(D44+Sum(F44:G44),0) &amp; "}.")," ") &amp; IFERROR(If(H44=Round(I44+Sum(K44:L44),0)," "," Стр. 291, Гр. 6 [H44]  д.б. = [Окр(I44+Сум(K44:L44),0)] {" &amp; Round(I44+Sum(K44:L44),0) &amp; "}.")," ")</f>
        <v>0.0</v>
      </c>
    </row>
    <row r="45" customHeight="true" ht="30.0">
      <c r="A45" s="5" t="inlineStr">
        <is>
          <t>Британская территория в Индийском океане</t>
        </is>
      </c>
      <c r="B45" s="1" t="inlineStr">
        <is>
          <t>292</t>
        </is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13">
        <f>IFERROR(If(C45=Round(D45+Sum(F45:G45),0)," "," Стр. 292, Гр. 1 [C45]  д.б. = [Окр(D45+Сум(F45:G45),0)] {" &amp; Round(D45+Sum(F45:G45),0) &amp; "}.")," ") &amp; IFERROR(If(H45=Round(I45+Sum(K45:L45),0)," "," Стр. 292, Гр. 6 [H45]  д.б. = [Окр(I45+Сум(K45:L45),0)] {" &amp; Round(I45+Sum(K45:L45),0) &amp; "}.")," ")</f>
        <v>0.0</v>
      </c>
    </row>
    <row r="46" customHeight="true" ht="30.0">
      <c r="A46" s="5" t="inlineStr">
        <is>
          <t>Соломоновы острова</t>
        </is>
      </c>
      <c r="B46" s="1" t="inlineStr">
        <is>
          <t>293</t>
        </is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13">
        <f>IFERROR(If(C46=Round(D46+Sum(F46:G46),0)," "," Стр. 293, Гр. 1 [C46]  д.б. = [Окр(D46+Сум(F46:G46),0)] {" &amp; Round(D46+Sum(F46:G46),0) &amp; "}.")," ") &amp; IFERROR(If(H46=Round(I46+Sum(K46:L46),0)," "," Стр. 293, Гр. 6 [H46]  д.б. = [Окр(I46+Сум(K46:L46),0)] {" &amp; Round(I46+Sum(K46:L46),0) &amp; "}.")," ")</f>
        <v>0.0</v>
      </c>
    </row>
    <row r="47" customHeight="true" ht="30.0">
      <c r="A47" s="5" t="inlineStr">
        <is>
          <t>Виргинские острова (Британские)</t>
        </is>
      </c>
      <c r="B47" s="1" t="inlineStr">
        <is>
          <t>294</t>
        </is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13">
        <f>IFERROR(If(C47=Round(D47+Sum(F47:G47),0)," "," Стр. 294, Гр. 1 [C47]  д.б. = [Окр(D47+Сум(F47:G47),0)] {" &amp; Round(D47+Sum(F47:G47),0) &amp; "}.")," ") &amp; IFERROR(If(H47=Round(I47+Sum(K47:L47),0)," "," Стр. 294, Гр. 6 [H47]  д.б. = [Окр(I47+Сум(K47:L47),0)] {" &amp; Round(I47+Sum(K47:L47),0) &amp; "}.")," ")</f>
        <v>0.0</v>
      </c>
    </row>
    <row r="48" customHeight="true" ht="30.0">
      <c r="A48" s="5" t="inlineStr">
        <is>
          <t>Бруней-Даруссалам</t>
        </is>
      </c>
      <c r="B48" s="1" t="inlineStr">
        <is>
          <t>295</t>
        </is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13">
        <f>IFERROR(If(C48=Round(D48+Sum(F48:G48),0)," "," Стр. 295, Гр. 1 [C48]  д.б. = [Окр(D48+Сум(F48:G48),0)] {" &amp; Round(D48+Sum(F48:G48),0) &amp; "}.")," ") &amp; IFERROR(If(H48=Round(I48+Sum(K48:L48),0)," "," Стр. 295, Гр. 6 [H48]  д.б. = [Окр(I48+Сум(K48:L48),0)] {" &amp; Round(I48+Sum(K48:L48),0) &amp; "}.")," ")</f>
        <v>0.0</v>
      </c>
    </row>
    <row r="49" customHeight="true" ht="30.0">
      <c r="A49" s="5" t="inlineStr">
        <is>
          <t>Болгария</t>
        </is>
      </c>
      <c r="B49" s="1" t="inlineStr">
        <is>
          <t>296</t>
        </is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13">
        <f>IFERROR(If(C49=Round(D49+Sum(F49:G49),0)," "," Стр. 296, Гр. 1 [C49]  д.б. = [Окр(D49+Сум(F49:G49),0)] {" &amp; Round(D49+Sum(F49:G49),0) &amp; "}.")," ") &amp; IFERROR(If(H49=Round(I49+Sum(K49:L49),0)," "," Стр. 296, Гр. 6 [H49]  д.б. = [Окр(I49+Сум(K49:L49),0)] {" &amp; Round(I49+Sum(K49:L49),0) &amp; "}.")," ")</f>
        <v>0.0</v>
      </c>
    </row>
    <row r="50" customHeight="true" ht="30.0">
      <c r="A50" s="5" t="inlineStr">
        <is>
          <t>Мьянма</t>
        </is>
      </c>
      <c r="B50" s="1" t="inlineStr">
        <is>
          <t>297</t>
        </is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13">
        <f>IFERROR(If(C50=Round(D50+Sum(F50:G50),0)," "," Стр. 297, Гр. 1 [C50]  д.б. = [Окр(D50+Сум(F50:G50),0)] {" &amp; Round(D50+Sum(F50:G50),0) &amp; "}.")," ") &amp; IFERROR(If(H50=Round(I50+Sum(K50:L50),0)," "," Стр. 297, Гр. 6 [H50]  д.б. = [Окр(I50+Сум(K50:L50),0)] {" &amp; Round(I50+Sum(K50:L50),0) &amp; "}.")," ")</f>
        <v>0.0</v>
      </c>
    </row>
    <row r="51" customHeight="true" ht="30.0">
      <c r="A51" s="5" t="inlineStr">
        <is>
          <t>Бурунди</t>
        </is>
      </c>
      <c r="B51" s="1" t="inlineStr">
        <is>
          <t>298</t>
        </is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13">
        <f>IFERROR(If(C51=Round(D51+Sum(F51:G51),0)," "," Стр. 298, Гр. 1 [C51]  д.б. = [Окр(D51+Сум(F51:G51),0)] {" &amp; Round(D51+Sum(F51:G51),0) &amp; "}.")," ") &amp; IFERROR(If(H51=Round(I51+Sum(K51:L51),0)," "," Стр. 298, Гр. 6 [H51]  д.б. = [Окр(I51+Сум(K51:L51),0)] {" &amp; Round(I51+Sum(K51:L51),0) &amp; "}.")," ")</f>
        <v>0.0</v>
      </c>
    </row>
    <row r="52" customHeight="true" ht="30.0">
      <c r="A52" s="5" t="inlineStr">
        <is>
          <t>Камбоджа</t>
        </is>
      </c>
      <c r="B52" s="1" t="inlineStr">
        <is>
          <t>299</t>
        </is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13">
        <f>IFERROR(If(C52=Round(D52+Sum(F52:G52),0)," "," Стр. 299, Гр. 1 [C52]  д.б. = [Окр(D52+Сум(F52:G52),0)] {" &amp; Round(D52+Sum(F52:G52),0) &amp; "}.")," ") &amp; IFERROR(If(H52=Round(I52+Sum(K52:L52),0)," "," Стр. 299, Гр. 6 [H52]  д.б. = [Окр(I52+Сум(K52:L52),0)] {" &amp; Round(I52+Sum(K52:L52),0) &amp; "}.")," ")</f>
        <v>0.0</v>
      </c>
    </row>
    <row r="53" customHeight="true" ht="30.0">
      <c r="A53" s="5" t="inlineStr">
        <is>
          <t>Камерун</t>
        </is>
      </c>
      <c r="B53" s="1" t="inlineStr">
        <is>
          <t>300</t>
        </is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13">
        <f>IFERROR(If(C53=Round(D53+Sum(F53:G53),0)," "," Стр. 300, Гр. 1 [C53]  д.б. = [Окр(D53+Сум(F53:G53),0)] {" &amp; Round(D53+Sum(F53:G53),0) &amp; "}.")," ") &amp; IFERROR(If(H53=Round(I53+Sum(K53:L53),0)," "," Стр. 300, Гр. 6 [H53]  д.б. = [Окр(I53+Сум(K53:L53),0)] {" &amp; Round(I53+Sum(K53:L53),0) &amp; "}.")," ")</f>
        <v>0.0</v>
      </c>
    </row>
    <row r="54" customHeight="true" ht="30.0">
      <c r="A54" s="5" t="inlineStr">
        <is>
          <t>Канада</t>
        </is>
      </c>
      <c r="B54" s="1" t="inlineStr">
        <is>
          <t>301</t>
        </is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13">
        <f>IFERROR(If(C54=Round(D54+Sum(F54:G54),0)," "," Стр. 301, Гр. 1 [C54]  д.б. = [Окр(D54+Сум(F54:G54),0)] {" &amp; Round(D54+Sum(F54:G54),0) &amp; "}.")," ") &amp; IFERROR(If(H54=Round(I54+Sum(K54:L54),0)," "," Стр. 301, Гр. 6 [H54]  д.б. = [Окр(I54+Сум(K54:L54),0)] {" &amp; Round(I54+Sum(K54:L54),0) &amp; "}.")," ")</f>
        <v>0.0</v>
      </c>
    </row>
    <row r="55" customHeight="true" ht="30.0">
      <c r="A55" s="5" t="inlineStr">
        <is>
          <t>Кабо-Верде</t>
        </is>
      </c>
      <c r="B55" s="1" t="inlineStr">
        <is>
          <t>302</t>
        </is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13">
        <f>IFERROR(If(C55=Round(D55+Sum(F55:G55),0)," "," Стр. 302, Гр. 1 [C55]  д.б. = [Окр(D55+Сум(F55:G55),0)] {" &amp; Round(D55+Sum(F55:G55),0) &amp; "}.")," ") &amp; IFERROR(If(H55=Round(I55+Sum(K55:L55),0)," "," Стр. 302, Гр. 6 [H55]  д.б. = [Окр(I55+Сум(K55:L55),0)] {" &amp; Round(I55+Sum(K55:L55),0) &amp; "}.")," ")</f>
        <v>0.0</v>
      </c>
    </row>
    <row r="56" customHeight="true" ht="30.0">
      <c r="A56" s="5" t="inlineStr">
        <is>
          <t>Острова Кайман</t>
        </is>
      </c>
      <c r="B56" s="1" t="inlineStr">
        <is>
          <t>303</t>
        </is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13">
        <f>IFERROR(If(C56=Round(D56+Sum(F56:G56),0)," "," Стр. 303, Гр. 1 [C56]  д.б. = [Окр(D56+Сум(F56:G56),0)] {" &amp; Round(D56+Sum(F56:G56),0) &amp; "}.")," ") &amp; IFERROR(If(H56=Round(I56+Sum(K56:L56),0)," "," Стр. 303, Гр. 6 [H56]  д.б. = [Окр(I56+Сум(K56:L56),0)] {" &amp; Round(I56+Sum(K56:L56),0) &amp; "}.")," ")</f>
        <v>0.0</v>
      </c>
    </row>
    <row r="57" customHeight="true" ht="30.0">
      <c r="A57" s="5" t="inlineStr">
        <is>
          <t>Центрально-Африканская Республика</t>
        </is>
      </c>
      <c r="B57" s="1" t="inlineStr">
        <is>
          <t>304</t>
        </is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13">
        <f>IFERROR(If(C57=Round(D57+Sum(F57:G57),0)," "," Стр. 304, Гр. 1 [C57]  д.б. = [Окр(D57+Сум(F57:G57),0)] {" &amp; Round(D57+Sum(F57:G57),0) &amp; "}.")," ") &amp; IFERROR(If(H57=Round(I57+Sum(K57:L57),0)," "," Стр. 304, Гр. 6 [H57]  д.б. = [Окр(I57+Сум(K57:L57),0)] {" &amp; Round(I57+Sum(K57:L57),0) &amp; "}.")," ")</f>
        <v>0.0</v>
      </c>
    </row>
    <row r="58" customHeight="true" ht="30.0">
      <c r="A58" s="5" t="inlineStr">
        <is>
          <t>Шри-Ланка</t>
        </is>
      </c>
      <c r="B58" s="1" t="inlineStr">
        <is>
          <t>305</t>
        </is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13">
        <f>IFERROR(If(C58=Round(D58+Sum(F58:G58),0)," "," Стр. 305, Гр. 1 [C58]  д.б. = [Окр(D58+Сум(F58:G58),0)] {" &amp; Round(D58+Sum(F58:G58),0) &amp; "}.")," ") &amp; IFERROR(If(H58=Round(I58+Sum(K58:L58),0)," "," Стр. 305, Гр. 6 [H58]  д.б. = [Окр(I58+Сум(K58:L58),0)] {" &amp; Round(I58+Sum(K58:L58),0) &amp; "}.")," ")</f>
        <v>0.0</v>
      </c>
    </row>
    <row r="59" customHeight="true" ht="30.0">
      <c r="A59" s="5" t="inlineStr">
        <is>
          <t>Чад</t>
        </is>
      </c>
      <c r="B59" s="1" t="inlineStr">
        <is>
          <t>306</t>
        </is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13">
        <f>IFERROR(If(C59=Round(D59+Sum(F59:G59),0)," "," Стр. 306, Гр. 1 [C59]  д.б. = [Окр(D59+Сум(F59:G59),0)] {" &amp; Round(D59+Sum(F59:G59),0) &amp; "}.")," ") &amp; IFERROR(If(H59=Round(I59+Sum(K59:L59),0)," "," Стр. 306, Гр. 6 [H59]  д.б. = [Окр(I59+Сум(K59:L59),0)] {" &amp; Round(I59+Sum(K59:L59),0) &amp; "}.")," ")</f>
        <v>0.0</v>
      </c>
    </row>
    <row r="60" customHeight="true" ht="30.0">
      <c r="A60" s="5" t="inlineStr">
        <is>
          <t>Чили</t>
        </is>
      </c>
      <c r="B60" s="1" t="inlineStr">
        <is>
          <t>307</t>
        </is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13">
        <f>IFERROR(If(C60=Round(D60+Sum(F60:G60),0)," "," Стр. 307, Гр. 1 [C60]  д.б. = [Окр(D60+Сум(F60:G60),0)] {" &amp; Round(D60+Sum(F60:G60),0) &amp; "}.")," ") &amp; IFERROR(If(H60=Round(I60+Sum(K60:L60),0)," "," Стр. 307, Гр. 6 [H60]  д.б. = [Окр(I60+Сум(K60:L60),0)] {" &amp; Round(I60+Sum(K60:L60),0) &amp; "}.")," ")</f>
        <v>0.0</v>
      </c>
    </row>
    <row r="61" customHeight="true" ht="30.0">
      <c r="A61" s="5" t="inlineStr">
        <is>
          <t>Китай</t>
        </is>
      </c>
      <c r="B61" s="1" t="inlineStr">
        <is>
          <t>308</t>
        </is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13">
        <f>IFERROR(If(C61=Round(D61+Sum(F61:G61),0)," "," Стр. 308, Гр. 1 [C61]  д.б. = [Окр(D61+Сум(F61:G61),0)] {" &amp; Round(D61+Sum(F61:G61),0) &amp; "}.")," ") &amp; IFERROR(If(H61=Round(I61+Sum(K61:L61),0)," "," Стр. 308, Гр. 6 [H61]  д.б. = [Окр(I61+Сум(K61:L61),0)] {" &amp; Round(I61+Sum(K61:L61),0) &amp; "}.")," ")</f>
        <v>0.0</v>
      </c>
    </row>
    <row r="62" customHeight="true" ht="30.0">
      <c r="A62" s="5" t="inlineStr">
        <is>
          <t>Тайвань (Китай)</t>
        </is>
      </c>
      <c r="B62" s="1" t="inlineStr">
        <is>
          <t>309</t>
        </is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13">
        <f>IFERROR(If(C62=Round(D62+Sum(F62:G62),0)," "," Стр. 309, Гр. 1 [C62]  д.б. = [Окр(D62+Сум(F62:G62),0)] {" &amp; Round(D62+Sum(F62:G62),0) &amp; "}.")," ") &amp; IFERROR(If(H62=Round(I62+Sum(K62:L62),0)," "," Стр. 309, Гр. 6 [H62]  д.б. = [Окр(I62+Сум(K62:L62),0)] {" &amp; Round(I62+Sum(K62:L62),0) &amp; "}.")," ")</f>
        <v>0.0</v>
      </c>
    </row>
    <row r="63" customHeight="true" ht="30.0">
      <c r="A63" s="5" t="inlineStr">
        <is>
          <t>Остров Рождества</t>
        </is>
      </c>
      <c r="B63" s="1" t="inlineStr">
        <is>
          <t>310</t>
        </is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13">
        <f>IFERROR(If(C63=Round(D63+Sum(F63:G63),0)," "," Стр. 310, Гр. 1 [C63]  д.б. = [Окр(D63+Сум(F63:G63),0)] {" &amp; Round(D63+Sum(F63:G63),0) &amp; "}.")," ") &amp; IFERROR(If(H63=Round(I63+Sum(K63:L63),0)," "," Стр. 310, Гр. 6 [H63]  д.б. = [Окр(I63+Сум(K63:L63),0)] {" &amp; Round(I63+Sum(K63:L63),0) &amp; "}.")," ")</f>
        <v>0.0</v>
      </c>
    </row>
    <row r="64" customHeight="true" ht="30.0">
      <c r="A64" s="5" t="inlineStr">
        <is>
          <t>Кокосовые (Килинг) острова</t>
        </is>
      </c>
      <c r="B64" s="1" t="inlineStr">
        <is>
          <t>311</t>
        </is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13">
        <f>IFERROR(If(C64=Round(D64+Sum(F64:G64),0)," "," Стр. 311, Гр. 1 [C64]  д.б. = [Окр(D64+Сум(F64:G64),0)] {" &amp; Round(D64+Sum(F64:G64),0) &amp; "}.")," ") &amp; IFERROR(If(H64=Round(I64+Sum(K64:L64),0)," "," Стр. 311, Гр. 6 [H64]  д.б. = [Окр(I64+Сум(K64:L64),0)] {" &amp; Round(I64+Sum(K64:L64),0) &amp; "}.")," ")</f>
        <v>0.0</v>
      </c>
    </row>
    <row r="65" customHeight="true" ht="30.0">
      <c r="A65" s="5" t="inlineStr">
        <is>
          <t>Колумбия</t>
        </is>
      </c>
      <c r="B65" s="1" t="inlineStr">
        <is>
          <t>312</t>
        </is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13">
        <f>IFERROR(If(C65=Round(D65+Sum(F65:G65),0)," "," Стр. 312, Гр. 1 [C65]  д.б. = [Окр(D65+Сум(F65:G65),0)] {" &amp; Round(D65+Sum(F65:G65),0) &amp; "}.")," ") &amp; IFERROR(If(H65=Round(I65+Sum(K65:L65),0)," "," Стр. 312, Гр. 6 [H65]  д.б. = [Окр(I65+Сум(K65:L65),0)] {" &amp; Round(I65+Sum(K65:L65),0) &amp; "}.")," ")</f>
        <v>0.0</v>
      </c>
    </row>
    <row r="66" customHeight="true" ht="30.0">
      <c r="A66" s="5" t="inlineStr">
        <is>
          <t>Коморы</t>
        </is>
      </c>
      <c r="B66" s="1" t="inlineStr">
        <is>
          <t>313</t>
        </is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13">
        <f>IFERROR(If(C66=Round(D66+Sum(F66:G66),0)," "," Стр. 313, Гр. 1 [C66]  д.б. = [Окр(D66+Сум(F66:G66),0)] {" &amp; Round(D66+Sum(F66:G66),0) &amp; "}.")," ") &amp; IFERROR(If(H66=Round(I66+Sum(K66:L66),0)," "," Стр. 313, Гр. 6 [H66]  д.б. = [Окр(I66+Сум(K66:L66),0)] {" &amp; Round(I66+Sum(K66:L66),0) &amp; "}.")," ")</f>
        <v>0.0</v>
      </c>
    </row>
    <row r="67" customHeight="true" ht="30.0">
      <c r="A67" s="5" t="inlineStr">
        <is>
          <t>Майотта</t>
        </is>
      </c>
      <c r="B67" s="1" t="inlineStr">
        <is>
          <t>314</t>
        </is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13">
        <f>IFERROR(If(C67=Round(D67+Sum(F67:G67),0)," "," Стр. 314, Гр. 1 [C67]  д.б. = [Окр(D67+Сум(F67:G67),0)] {" &amp; Round(D67+Sum(F67:G67),0) &amp; "}.")," ") &amp; IFERROR(If(H67=Round(I67+Sum(K67:L67),0)," "," Стр. 314, Гр. 6 [H67]  д.б. = [Окр(I67+Сум(K67:L67),0)] {" &amp; Round(I67+Sum(K67:L67),0) &amp; "}.")," ")</f>
        <v>0.0</v>
      </c>
    </row>
    <row r="68" customHeight="true" ht="30.0">
      <c r="A68" s="5" t="inlineStr">
        <is>
          <t>Конго</t>
        </is>
      </c>
      <c r="B68" s="1" t="inlineStr">
        <is>
          <t>315</t>
        </is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13">
        <f>IFERROR(If(C68=Round(D68+Sum(F68:G68),0)," "," Стр. 315, Гр. 1 [C68]  д.б. = [Окр(D68+Сум(F68:G68),0)] {" &amp; Round(D68+Sum(F68:G68),0) &amp; "}.")," ") &amp; IFERROR(If(H68=Round(I68+Sum(K68:L68),0)," "," Стр. 315, Гр. 6 [H68]  д.б. = [Окр(I68+Сум(K68:L68),0)] {" &amp; Round(I68+Sum(K68:L68),0) &amp; "}.")," ")</f>
        <v>0.0</v>
      </c>
    </row>
    <row r="69" customHeight="true" ht="30.0">
      <c r="A69" s="5" t="inlineStr">
        <is>
          <t>Конго, Демократическая Республика</t>
        </is>
      </c>
      <c r="B69" s="1" t="inlineStr">
        <is>
          <t>316</t>
        </is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13">
        <f>IFERROR(If(C69=Round(D69+Sum(F69:G69),0)," "," Стр. 316, Гр. 1 [C69]  д.б. = [Окр(D69+Сум(F69:G69),0)] {" &amp; Round(D69+Sum(F69:G69),0) &amp; "}.")," ") &amp; IFERROR(If(H69=Round(I69+Sum(K69:L69),0)," "," Стр. 316, Гр. 6 [H69]  д.б. = [Окр(I69+Сум(K69:L69),0)] {" &amp; Round(I69+Sum(K69:L69),0) &amp; "}.")," ")</f>
        <v>0.0</v>
      </c>
    </row>
    <row r="70" customHeight="true" ht="30.0">
      <c r="A70" s="5" t="inlineStr">
        <is>
          <t>Острова Кука</t>
        </is>
      </c>
      <c r="B70" s="1" t="inlineStr">
        <is>
          <t>317</t>
        </is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13">
        <f>IFERROR(If(C70=Round(D70+Sum(F70:G70),0)," "," Стр. 317, Гр. 1 [C70]  д.б. = [Окр(D70+Сум(F70:G70),0)] {" &amp; Round(D70+Sum(F70:G70),0) &amp; "}.")," ") &amp; IFERROR(If(H70=Round(I70+Sum(K70:L70),0)," "," Стр. 317, Гр. 6 [H70]  д.б. = [Окр(I70+Сум(K70:L70),0)] {" &amp; Round(I70+Sum(K70:L70),0) &amp; "}.")," ")</f>
        <v>0.0</v>
      </c>
    </row>
    <row r="71" customHeight="true" ht="30.0">
      <c r="A71" s="5" t="inlineStr">
        <is>
          <t>Коста-Рика</t>
        </is>
      </c>
      <c r="B71" s="1" t="inlineStr">
        <is>
          <t>318</t>
        </is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13">
        <f>IFERROR(If(C71=Round(D71+Sum(F71:G71),0)," "," Стр. 318, Гр. 1 [C71]  д.б. = [Окр(D71+Сум(F71:G71),0)] {" &amp; Round(D71+Sum(F71:G71),0) &amp; "}.")," ") &amp; IFERROR(If(H71=Round(I71+Sum(K71:L71),0)," "," Стр. 318, Гр. 6 [H71]  д.б. = [Окр(I71+Сум(K71:L71),0)] {" &amp; Round(I71+Sum(K71:L71),0) &amp; "}.")," ")</f>
        <v>0.0</v>
      </c>
    </row>
    <row r="72" customHeight="true" ht="30.0">
      <c r="A72" s="5" t="inlineStr">
        <is>
          <t>Хорватия</t>
        </is>
      </c>
      <c r="B72" s="1" t="inlineStr">
        <is>
          <t>319</t>
        </is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13">
        <f>IFERROR(If(C72=Round(D72+Sum(F72:G72),0)," "," Стр. 319, Гр. 1 [C72]  д.б. = [Окр(D72+Сум(F72:G72),0)] {" &amp; Round(D72+Sum(F72:G72),0) &amp; "}.")," ") &amp; IFERROR(If(H72=Round(I72+Sum(K72:L72),0)," "," Стр. 319, Гр. 6 [H72]  д.б. = [Окр(I72+Сум(K72:L72),0)] {" &amp; Round(I72+Sum(K72:L72),0) &amp; "}.")," ")</f>
        <v>0.0</v>
      </c>
    </row>
    <row r="73" customHeight="true" ht="30.0">
      <c r="A73" s="5" t="inlineStr">
        <is>
          <t>Куба</t>
        </is>
      </c>
      <c r="B73" s="1" t="inlineStr">
        <is>
          <t>320</t>
        </is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13">
        <f>IFERROR(If(C73=Round(D73+Sum(F73:G73),0)," "," Стр. 320, Гр. 1 [C73]  д.б. = [Окр(D73+Сум(F73:G73),0)] {" &amp; Round(D73+Sum(F73:G73),0) &amp; "}.")," ") &amp; IFERROR(If(H73=Round(I73+Sum(K73:L73),0)," "," Стр. 320, Гр. 6 [H73]  д.б. = [Окр(I73+Сум(K73:L73),0)] {" &amp; Round(I73+Sum(K73:L73),0) &amp; "}.")," ")</f>
        <v>0.0</v>
      </c>
    </row>
    <row r="74" customHeight="true" ht="30.0">
      <c r="A74" s="5" t="inlineStr">
        <is>
          <t>Кипр</t>
        </is>
      </c>
      <c r="B74" s="1" t="inlineStr">
        <is>
          <t>321</t>
        </is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13">
        <f>IFERROR(If(C74=Round(D74+Sum(F74:G74),0)," "," Стр. 321, Гр. 1 [C74]  д.б. = [Окр(D74+Сум(F74:G74),0)] {" &amp; Round(D74+Sum(F74:G74),0) &amp; "}.")," ") &amp; IFERROR(If(H74=Round(I74+Sum(K74:L74),0)," "," Стр. 321, Гр. 6 [H74]  д.б. = [Окр(I74+Сум(K74:L74),0)] {" &amp; Round(I74+Sum(K74:L74),0) &amp; "}.")," ")</f>
        <v>0.0</v>
      </c>
    </row>
    <row r="75" customHeight="true" ht="30.0">
      <c r="A75" s="5" t="inlineStr">
        <is>
          <t>Чехия</t>
        </is>
      </c>
      <c r="B75" s="1" t="inlineStr">
        <is>
          <t>322</t>
        </is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13">
        <f>IFERROR(If(C75=Round(D75+Sum(F75:G75),0)," "," Стр. 322, Гр. 1 [C75]  д.б. = [Окр(D75+Сум(F75:G75),0)] {" &amp; Round(D75+Sum(F75:G75),0) &amp; "}.")," ") &amp; IFERROR(If(H75=Round(I75+Sum(K75:L75),0)," "," Стр. 322, Гр. 6 [H75]  д.б. = [Окр(I75+Сум(K75:L75),0)] {" &amp; Round(I75+Sum(K75:L75),0) &amp; "}.")," ")</f>
        <v>0.0</v>
      </c>
    </row>
    <row r="76" customHeight="true" ht="30.0">
      <c r="A76" s="5" t="inlineStr">
        <is>
          <t>Бенин</t>
        </is>
      </c>
      <c r="B76" s="1" t="inlineStr">
        <is>
          <t>323</t>
        </is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13">
        <f>IFERROR(If(C76=Round(D76+Sum(F76:G76),0)," "," Стр. 323, Гр. 1 [C76]  д.б. = [Окр(D76+Сум(F76:G76),0)] {" &amp; Round(D76+Sum(F76:G76),0) &amp; "}.")," ") &amp; IFERROR(If(H76=Round(I76+Sum(K76:L76),0)," "," Стр. 323, Гр. 6 [H76]  д.б. = [Окр(I76+Сум(K76:L76),0)] {" &amp; Round(I76+Sum(K76:L76),0) &amp; "}.")," ")</f>
        <v>0.0</v>
      </c>
    </row>
    <row r="77" customHeight="true" ht="30.0">
      <c r="A77" s="5" t="inlineStr">
        <is>
          <t>Дания</t>
        </is>
      </c>
      <c r="B77" s="1" t="inlineStr">
        <is>
          <t>324</t>
        </is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13">
        <f>IFERROR(If(C77=Round(D77+Sum(F77:G77),0)," "," Стр. 324, Гр. 1 [C77]  д.б. = [Окр(D77+Сум(F77:G77),0)] {" &amp; Round(D77+Sum(F77:G77),0) &amp; "}.")," ") &amp; IFERROR(If(H77=Round(I77+Sum(K77:L77),0)," "," Стр. 324, Гр. 6 [H77]  д.б. = [Окр(I77+Сум(K77:L77),0)] {" &amp; Round(I77+Sum(K77:L77),0) &amp; "}.")," ")</f>
        <v>0.0</v>
      </c>
    </row>
    <row r="78" customHeight="true" ht="30.0">
      <c r="A78" s="5" t="inlineStr">
        <is>
          <t>Доминика</t>
        </is>
      </c>
      <c r="B78" s="1" t="inlineStr">
        <is>
          <t>325</t>
        </is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13">
        <f>IFERROR(If(C78=Round(D78+Sum(F78:G78),0)," "," Стр. 325, Гр. 1 [C78]  д.б. = [Окр(D78+Сум(F78:G78),0)] {" &amp; Round(D78+Sum(F78:G78),0) &amp; "}.")," ") &amp; IFERROR(If(H78=Round(I78+Sum(K78:L78),0)," "," Стр. 325, Гр. 6 [H78]  д.б. = [Окр(I78+Сум(K78:L78),0)] {" &amp; Round(I78+Sum(K78:L78),0) &amp; "}.")," ")</f>
        <v>0.0</v>
      </c>
    </row>
    <row r="79" customHeight="true" ht="30.0">
      <c r="A79" s="5" t="inlineStr">
        <is>
          <t>Доминиканская Республика</t>
        </is>
      </c>
      <c r="B79" s="1" t="inlineStr">
        <is>
          <t>326</t>
        </is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13">
        <f>IFERROR(If(C79=Round(D79+Sum(F79:G79),0)," "," Стр. 326, Гр. 1 [C79]  д.б. = [Окр(D79+Сум(F79:G79),0)] {" &amp; Round(D79+Sum(F79:G79),0) &amp; "}.")," ") &amp; IFERROR(If(H79=Round(I79+Sum(K79:L79),0)," "," Стр. 326, Гр. 6 [H79]  д.б. = [Окр(I79+Сум(K79:L79),0)] {" &amp; Round(I79+Sum(K79:L79),0) &amp; "}.")," ")</f>
        <v>0.0</v>
      </c>
    </row>
    <row r="80" customHeight="true" ht="30.0">
      <c r="A80" s="5" t="inlineStr">
        <is>
          <t>Эквадор</t>
        </is>
      </c>
      <c r="B80" s="1" t="inlineStr">
        <is>
          <t>327</t>
        </is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13">
        <f>IFERROR(If(C80=Round(D80+Sum(F80:G80),0)," "," Стр. 327, Гр. 1 [C80]  д.б. = [Окр(D80+Сум(F80:G80),0)] {" &amp; Round(D80+Sum(F80:G80),0) &amp; "}.")," ") &amp; IFERROR(If(H80=Round(I80+Sum(K80:L80),0)," "," Стр. 327, Гр. 6 [H80]  д.б. = [Окр(I80+Сум(K80:L80),0)] {" &amp; Round(I80+Sum(K80:L80),0) &amp; "}.")," ")</f>
        <v>0.0</v>
      </c>
    </row>
    <row r="81" customHeight="true" ht="30.0">
      <c r="A81" s="5" t="inlineStr">
        <is>
          <t>Эль-Сальвадор</t>
        </is>
      </c>
      <c r="B81" s="1" t="inlineStr">
        <is>
          <t>328</t>
        </is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13">
        <f>IFERROR(If(C81=Round(D81+Sum(F81:G81),0)," "," Стр. 328, Гр. 1 [C81]  д.б. = [Окр(D81+Сум(F81:G81),0)] {" &amp; Round(D81+Sum(F81:G81),0) &amp; "}.")," ") &amp; IFERROR(If(H81=Round(I81+Sum(K81:L81),0)," "," Стр. 328, Гр. 6 [H81]  д.б. = [Окр(I81+Сум(K81:L81),0)] {" &amp; Round(I81+Sum(K81:L81),0) &amp; "}.")," ")</f>
        <v>0.0</v>
      </c>
    </row>
    <row r="82" customHeight="true" ht="30.0">
      <c r="A82" s="5" t="inlineStr">
        <is>
          <t>Экваториальная Гвинея</t>
        </is>
      </c>
      <c r="B82" s="1" t="inlineStr">
        <is>
          <t>329</t>
        </is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13">
        <f>IFERROR(If(C82=Round(D82+Sum(F82:G82),0)," "," Стр. 329, Гр. 1 [C82]  д.б. = [Окр(D82+Сум(F82:G82),0)] {" &amp; Round(D82+Sum(F82:G82),0) &amp; "}.")," ") &amp; IFERROR(If(H82=Round(I82+Sum(K82:L82),0)," "," Стр. 329, Гр. 6 [H82]  д.б. = [Окр(I82+Сум(K82:L82),0)] {" &amp; Round(I82+Sum(K82:L82),0) &amp; "}.")," ")</f>
        <v>0.0</v>
      </c>
    </row>
    <row r="83" customHeight="true" ht="30.0">
      <c r="A83" s="5" t="inlineStr">
        <is>
          <t>Эфиопия</t>
        </is>
      </c>
      <c r="B83" s="1" t="inlineStr">
        <is>
          <t>330</t>
        </is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3">
        <f>IFERROR(If(C83=Round(D83+Sum(F83:G83),0)," "," Стр. 330, Гр. 1 [C83]  д.б. = [Окр(D83+Сум(F83:G83),0)] {" &amp; Round(D83+Sum(F83:G83),0) &amp; "}.")," ") &amp; IFERROR(If(H83=Round(I83+Sum(K83:L83),0)," "," Стр. 330, Гр. 6 [H83]  д.б. = [Окр(I83+Сум(K83:L83),0)] {" &amp; Round(I83+Sum(K83:L83),0) &amp; "}.")," ")</f>
        <v>0.0</v>
      </c>
    </row>
    <row r="84" customHeight="true" ht="30.0">
      <c r="A84" s="5" t="inlineStr">
        <is>
          <t>Эритрея</t>
        </is>
      </c>
      <c r="B84" s="1" t="inlineStr">
        <is>
          <t>331</t>
        </is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13">
        <f>IFERROR(If(C84=Round(D84+Sum(F84:G84),0)," "," Стр. 331, Гр. 1 [C84]  д.б. = [Окр(D84+Сум(F84:G84),0)] {" &amp; Round(D84+Sum(F84:G84),0) &amp; "}.")," ") &amp; IFERROR(If(H84=Round(I84+Sum(K84:L84),0)," "," Стр. 331, Гр. 6 [H84]  д.б. = [Окр(I84+Сум(K84:L84),0)] {" &amp; Round(I84+Sum(K84:L84),0) &amp; "}.")," ")</f>
        <v>0.0</v>
      </c>
    </row>
    <row r="85" customHeight="true" ht="30.0">
      <c r="A85" s="5" t="inlineStr">
        <is>
          <t>Эстония</t>
        </is>
      </c>
      <c r="B85" s="1" t="inlineStr">
        <is>
          <t>332</t>
        </is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13">
        <f>IFERROR(If(C85=Round(D85+Sum(F85:G85),0)," "," Стр. 332, Гр. 1 [C85]  д.б. = [Окр(D85+Сум(F85:G85),0)] {" &amp; Round(D85+Sum(F85:G85),0) &amp; "}.")," ") &amp; IFERROR(If(H85=Round(I85+Sum(K85:L85),0)," "," Стр. 332, Гр. 6 [H85]  д.б. = [Окр(I85+Сум(K85:L85),0)] {" &amp; Round(I85+Sum(K85:L85),0) &amp; "}.")," ")</f>
        <v>0.0</v>
      </c>
    </row>
    <row r="86" customHeight="true" ht="30.0">
      <c r="A86" s="5" t="inlineStr">
        <is>
          <t>Фарерские острова</t>
        </is>
      </c>
      <c r="B86" s="1" t="inlineStr">
        <is>
          <t>333</t>
        </is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13">
        <f>IFERROR(If(C86=Round(D86+Sum(F86:G86),0)," "," Стр. 333, Гр. 1 [C86]  д.б. = [Окр(D86+Сум(F86:G86),0)] {" &amp; Round(D86+Sum(F86:G86),0) &amp; "}.")," ") &amp; IFERROR(If(H86=Round(I86+Sum(K86:L86),0)," "," Стр. 333, Гр. 6 [H86]  д.б. = [Окр(I86+Сум(K86:L86),0)] {" &amp; Round(I86+Sum(K86:L86),0) &amp; "}.")," ")</f>
        <v>0.0</v>
      </c>
    </row>
    <row r="87" customHeight="true" ht="30.0">
      <c r="A87" s="5" t="inlineStr">
        <is>
          <t>Фолклендские острова (Мальвинские)</t>
        </is>
      </c>
      <c r="B87" s="1" t="inlineStr">
        <is>
          <t>334</t>
        </is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13">
        <f>IFERROR(If(C87=Round(D87+Sum(F87:G87),0)," "," Стр. 334, Гр. 1 [C87]  д.б. = [Окр(D87+Сум(F87:G87),0)] {" &amp; Round(D87+Sum(F87:G87),0) &amp; "}.")," ") &amp; IFERROR(If(H87=Round(I87+Sum(K87:L87),0)," "," Стр. 334, Гр. 6 [H87]  д.б. = [Окр(I87+Сум(K87:L87),0)] {" &amp; Round(I87+Sum(K87:L87),0) &amp; "}.")," ")</f>
        <v>0.0</v>
      </c>
    </row>
    <row r="88" customHeight="true" ht="30.0">
      <c r="A88" s="5" t="inlineStr">
        <is>
          <t>Южная Джорджия и Южные Сандвичевы острова</t>
        </is>
      </c>
      <c r="B88" s="1" t="inlineStr">
        <is>
          <t>335</t>
        </is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13">
        <f>IFERROR(If(C88=Round(D88+Sum(F88:G88),0)," "," Стр. 335, Гр. 1 [C88]  д.б. = [Окр(D88+Сум(F88:G88),0)] {" &amp; Round(D88+Sum(F88:G88),0) &amp; "}.")," ") &amp; IFERROR(If(H88=Round(I88+Sum(K88:L88),0)," "," Стр. 335, Гр. 6 [H88]  д.б. = [Окр(I88+Сум(K88:L88),0)] {" &amp; Round(I88+Sum(K88:L88),0) &amp; "}.")," ")</f>
        <v>0.0</v>
      </c>
    </row>
    <row r="89" customHeight="true" ht="30.0">
      <c r="A89" s="5" t="inlineStr">
        <is>
          <t>Фиджи</t>
        </is>
      </c>
      <c r="B89" s="1" t="inlineStr">
        <is>
          <t>336</t>
        </is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13">
        <f>IFERROR(If(C89=Round(D89+Sum(F89:G89),0)," "," Стр. 336, Гр. 1 [C89]  д.б. = [Окр(D89+Сум(F89:G89),0)] {" &amp; Round(D89+Sum(F89:G89),0) &amp; "}.")," ") &amp; IFERROR(If(H89=Round(I89+Sum(K89:L89),0)," "," Стр. 336, Гр. 6 [H89]  д.б. = [Окр(I89+Сум(K89:L89),0)] {" &amp; Round(I89+Sum(K89:L89),0) &amp; "}.")," ")</f>
        <v>0.0</v>
      </c>
    </row>
    <row r="90" customHeight="true" ht="30.0">
      <c r="A90" s="5" t="inlineStr">
        <is>
          <t>Финляндия</t>
        </is>
      </c>
      <c r="B90" s="1" t="inlineStr">
        <is>
          <t>337</t>
        </is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13">
        <f>IFERROR(If(C90=Round(D90+Sum(F90:G90),0)," "," Стр. 337, Гр. 1 [C90]  д.б. = [Окр(D90+Сум(F90:G90),0)] {" &amp; Round(D90+Sum(F90:G90),0) &amp; "}.")," ") &amp; IFERROR(If(H90=Round(I90+Sum(K90:L90),0)," "," Стр. 337, Гр. 6 [H90]  д.б. = [Окр(I90+Сум(K90:L90),0)] {" &amp; Round(I90+Sum(K90:L90),0) &amp; "}.")," ")</f>
        <v>0.0</v>
      </c>
    </row>
    <row r="91" customHeight="true" ht="30.0">
      <c r="A91" s="5" t="inlineStr">
        <is>
          <t>Эландские острова</t>
        </is>
      </c>
      <c r="B91" s="1" t="inlineStr">
        <is>
          <t>338</t>
        </is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13">
        <f>IFERROR(If(C91=Round(D91+Sum(F91:G91),0)," "," Стр. 338, Гр. 1 [C91]  д.б. = [Окр(D91+Сум(F91:G91),0)] {" &amp; Round(D91+Sum(F91:G91),0) &amp; "}.")," ") &amp; IFERROR(If(H91=Round(I91+Sum(K91:L91),0)," "," Стр. 338, Гр. 6 [H91]  д.б. = [Окр(I91+Сум(K91:L91),0)] {" &amp; Round(I91+Sum(K91:L91),0) &amp; "}.")," ")</f>
        <v>0.0</v>
      </c>
    </row>
    <row r="92" customHeight="true" ht="30.0">
      <c r="A92" s="5" t="inlineStr">
        <is>
          <t>Франция</t>
        </is>
      </c>
      <c r="B92" s="1" t="inlineStr">
        <is>
          <t>339</t>
        </is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13">
        <f>IFERROR(If(C92=Round(D92+Sum(F92:G92),0)," "," Стр. 339, Гр. 1 [C92]  д.б. = [Окр(D92+Сум(F92:G92),0)] {" &amp; Round(D92+Sum(F92:G92),0) &amp; "}.")," ") &amp; IFERROR(If(H92=Round(I92+Sum(K92:L92),0)," "," Стр. 339, Гр. 6 [H92]  д.б. = [Окр(I92+Сум(K92:L92),0)] {" &amp; Round(I92+Sum(K92:L92),0) &amp; "}.")," ")</f>
        <v>0.0</v>
      </c>
    </row>
    <row r="93" customHeight="true" ht="30.0">
      <c r="A93" s="5" t="inlineStr">
        <is>
          <t>Французская Гвиана</t>
        </is>
      </c>
      <c r="B93" s="1" t="inlineStr">
        <is>
          <t>340</t>
        </is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13">
        <f>IFERROR(If(C93=Round(D93+Sum(F93:G93),0)," "," Стр. 340, Гр. 1 [C93]  д.б. = [Окр(D93+Сум(F93:G93),0)] {" &amp; Round(D93+Sum(F93:G93),0) &amp; "}.")," ") &amp; IFERROR(If(H93=Round(I93+Sum(K93:L93),0)," "," Стр. 340, Гр. 6 [H93]  д.б. = [Окр(I93+Сум(K93:L93),0)] {" &amp; Round(I93+Sum(K93:L93),0) &amp; "}.")," ")</f>
        <v>0.0</v>
      </c>
    </row>
    <row r="94" customHeight="true" ht="30.0">
      <c r="A94" s="5" t="inlineStr">
        <is>
          <t>Французская Полинезия</t>
        </is>
      </c>
      <c r="B94" s="1" t="inlineStr">
        <is>
          <t>341</t>
        </is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13">
        <f>IFERROR(If(C94=Round(D94+Sum(F94:G94),0)," "," Стр. 341, Гр. 1 [C94]  д.б. = [Окр(D94+Сум(F94:G94),0)] {" &amp; Round(D94+Sum(F94:G94),0) &amp; "}.")," ") &amp; IFERROR(If(H94=Round(I94+Sum(K94:L94),0)," "," Стр. 341, Гр. 6 [H94]  д.б. = [Окр(I94+Сум(K94:L94),0)] {" &amp; Round(I94+Sum(K94:L94),0) &amp; "}.")," ")</f>
        <v>0.0</v>
      </c>
    </row>
    <row r="95" customHeight="true" ht="30.0">
      <c r="A95" s="5" t="inlineStr">
        <is>
          <t>Французские Южные территории</t>
        </is>
      </c>
      <c r="B95" s="1" t="inlineStr">
        <is>
          <t>342</t>
        </is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13">
        <f>IFERROR(If(C95=Round(D95+Sum(F95:G95),0)," "," Стр. 342, Гр. 1 [C95]  д.б. = [Окр(D95+Сум(F95:G95),0)] {" &amp; Round(D95+Sum(F95:G95),0) &amp; "}.")," ") &amp; IFERROR(If(H95=Round(I95+Sum(K95:L95),0)," "," Стр. 342, Гр. 6 [H95]  д.б. = [Окр(I95+Сум(K95:L95),0)] {" &amp; Round(I95+Sum(K95:L95),0) &amp; "}.")," ")</f>
        <v>0.0</v>
      </c>
    </row>
    <row r="96" customHeight="true" ht="30.0">
      <c r="A96" s="5" t="inlineStr">
        <is>
          <t>Джибути</t>
        </is>
      </c>
      <c r="B96" s="1" t="inlineStr">
        <is>
          <t>343</t>
        </is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13">
        <f>IFERROR(If(C96=Round(D96+Sum(F96:G96),0)," "," Стр. 343, Гр. 1 [C96]  д.б. = [Окр(D96+Сум(F96:G96),0)] {" &amp; Round(D96+Sum(F96:G96),0) &amp; "}.")," ") &amp; IFERROR(If(H96=Round(I96+Sum(K96:L96),0)," "," Стр. 343, Гр. 6 [H96]  д.б. = [Окр(I96+Сум(K96:L96),0)] {" &amp; Round(I96+Sum(K96:L96),0) &amp; "}.")," ")</f>
        <v>0.0</v>
      </c>
    </row>
    <row r="97" customHeight="true" ht="30.0">
      <c r="A97" s="5" t="inlineStr">
        <is>
          <t>Габон</t>
        </is>
      </c>
      <c r="B97" s="1" t="inlineStr">
        <is>
          <t>344</t>
        </is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13">
        <f>IFERROR(If(C97=Round(D97+Sum(F97:G97),0)," "," Стр. 344, Гр. 1 [C97]  д.б. = [Окр(D97+Сум(F97:G97),0)] {" &amp; Round(D97+Sum(F97:G97),0) &amp; "}.")," ") &amp; IFERROR(If(H97=Round(I97+Sum(K97:L97),0)," "," Стр. 344, Гр. 6 [H97]  д.б. = [Окр(I97+Сум(K97:L97),0)] {" &amp; Round(I97+Sum(K97:L97),0) &amp; "}.")," ")</f>
        <v>0.0</v>
      </c>
    </row>
    <row r="98" customHeight="true" ht="30.0">
      <c r="A98" s="5" t="inlineStr">
        <is>
          <t>Грузия</t>
        </is>
      </c>
      <c r="B98" s="1" t="inlineStr">
        <is>
          <t>345</t>
        </is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13">
        <f>IFERROR(If(C98=Round(D98+Sum(F98:G98),0)," "," Стр. 345, Гр. 1 [C98]  д.б. = [Окр(D98+Сум(F98:G98),0)] {" &amp; Round(D98+Sum(F98:G98),0) &amp; "}.")," ") &amp; IFERROR(If(H98=Round(I98+Sum(K98:L98),0)," "," Стр. 345, Гр. 6 [H98]  д.б. = [Окр(I98+Сум(K98:L98),0)] {" &amp; Round(I98+Sum(K98:L98),0) &amp; "}.")," ")</f>
        <v>0.0</v>
      </c>
    </row>
    <row r="99" customHeight="true" ht="30.0">
      <c r="A99" s="5" t="inlineStr">
        <is>
          <t>Гамбия</t>
        </is>
      </c>
      <c r="B99" s="1" t="inlineStr">
        <is>
          <t>346</t>
        </is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13">
        <f>IFERROR(If(C99=Round(D99+Sum(F99:G99),0)," "," Стр. 346, Гр. 1 [C99]  д.б. = [Окр(D99+Сум(F99:G99),0)] {" &amp; Round(D99+Sum(F99:G99),0) &amp; "}.")," ") &amp; IFERROR(If(H99=Round(I99+Sum(K99:L99),0)," "," Стр. 346, Гр. 6 [H99]  д.б. = [Окр(I99+Сум(K99:L99),0)] {" &amp; Round(I99+Sum(K99:L99),0) &amp; "}.")," ")</f>
        <v>0.0</v>
      </c>
    </row>
    <row r="100" customHeight="true" ht="30.0">
      <c r="A100" s="5" t="inlineStr">
        <is>
          <t>Палестина, Государство</t>
        </is>
      </c>
      <c r="B100" s="1" t="inlineStr">
        <is>
          <t>347</t>
        </is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13">
        <f>IFERROR(If(C100=Round(D100+Sum(F100:G100),0)," "," Стр. 347, Гр. 1 [C100]  д.б. = [Окр(D100+Сум(F100:G100),0)] {" &amp; Round(D100+Sum(F100:G100),0) &amp; "}.")," ") &amp; IFERROR(If(H100=Round(I100+Sum(K100:L100),0)," "," Стр. 347, Гр. 6 [H100]  д.б. = [Окр(I100+Сум(K100:L100),0)] {" &amp; Round(I100+Sum(K100:L100),0) &amp; "}.")," ")</f>
        <v>0.0</v>
      </c>
    </row>
    <row r="101" customHeight="true" ht="30.0">
      <c r="A101" s="5" t="inlineStr">
        <is>
          <t>Германия</t>
        </is>
      </c>
      <c r="B101" s="1" t="inlineStr">
        <is>
          <t>348</t>
        </is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13">
        <f>IFERROR(If(C101=Round(D101+Sum(F101:G101),0)," "," Стр. 348, Гр. 1 [C101]  д.б. = [Окр(D101+Сум(F101:G101),0)] {" &amp; Round(D101+Sum(F101:G101),0) &amp; "}.")," ") &amp; IFERROR(If(H101=Round(I101+Sum(K101:L101),0)," "," Стр. 348, Гр. 6 [H101]  д.б. = [Окр(I101+Сум(K101:L101),0)] {" &amp; Round(I101+Sum(K101:L101),0) &amp; "}.")," ")</f>
        <v>0.0</v>
      </c>
    </row>
    <row r="102" customHeight="true" ht="30.0">
      <c r="A102" s="5" t="inlineStr">
        <is>
          <t>Гана</t>
        </is>
      </c>
      <c r="B102" s="1" t="inlineStr">
        <is>
          <t>349</t>
        </is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13">
        <f>IFERROR(If(C102=Round(D102+Sum(F102:G102),0)," "," Стр. 349, Гр. 1 [C102]  д.б. = [Окр(D102+Сум(F102:G102),0)] {" &amp; Round(D102+Sum(F102:G102),0) &amp; "}.")," ") &amp; IFERROR(If(H102=Round(I102+Sum(K102:L102),0)," "," Стр. 349, Гр. 6 [H102]  д.б. = [Окр(I102+Сум(K102:L102),0)] {" &amp; Round(I102+Sum(K102:L102),0) &amp; "}.")," ")</f>
        <v>0.0</v>
      </c>
    </row>
    <row r="103" customHeight="true" ht="30.0">
      <c r="A103" s="5" t="inlineStr">
        <is>
          <t>Гибралтар</t>
        </is>
      </c>
      <c r="B103" s="1" t="inlineStr">
        <is>
          <t>350</t>
        </is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13">
        <f>IFERROR(If(C103=Round(D103+Sum(F103:G103),0)," "," Стр. 350, Гр. 1 [C103]  д.б. = [Окр(D103+Сум(F103:G103),0)] {" &amp; Round(D103+Sum(F103:G103),0) &amp; "}.")," ") &amp; IFERROR(If(H103=Round(I103+Sum(K103:L103),0)," "," Стр. 350, Гр. 6 [H103]  д.б. = [Окр(I103+Сум(K103:L103),0)] {" &amp; Round(I103+Sum(K103:L103),0) &amp; "}.")," ")</f>
        <v>0.0</v>
      </c>
    </row>
    <row r="104" customHeight="true" ht="30.0">
      <c r="A104" s="5" t="inlineStr">
        <is>
          <t>Кирибати</t>
        </is>
      </c>
      <c r="B104" s="1" t="inlineStr">
        <is>
          <t>351</t>
        </is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13">
        <f>IFERROR(If(C104=Round(D104+Sum(F104:G104),0)," "," Стр. 351, Гр. 1 [C104]  д.б. = [Окр(D104+Сум(F104:G104),0)] {" &amp; Round(D104+Sum(F104:G104),0) &amp; "}.")," ") &amp; IFERROR(If(H104=Round(I104+Sum(K104:L104),0)," "," Стр. 351, Гр. 6 [H104]  д.б. = [Окр(I104+Сум(K104:L104),0)] {" &amp; Round(I104+Sum(K104:L104),0) &amp; "}.")," ")</f>
        <v>0.0</v>
      </c>
    </row>
    <row r="105" customHeight="true" ht="30.0">
      <c r="A105" s="5" t="inlineStr">
        <is>
          <t>Греция</t>
        </is>
      </c>
      <c r="B105" s="1" t="inlineStr">
        <is>
          <t>352</t>
        </is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13">
        <f>IFERROR(If(C105=Round(D105+Sum(F105:G105),0)," "," Стр. 352, Гр. 1 [C105]  д.б. = [Окр(D105+Сум(F105:G105),0)] {" &amp; Round(D105+Sum(F105:G105),0) &amp; "}.")," ") &amp; IFERROR(If(H105=Round(I105+Sum(K105:L105),0)," "," Стр. 352, Гр. 6 [H105]  д.б. = [Окр(I105+Сум(K105:L105),0)] {" &amp; Round(I105+Sum(K105:L105),0) &amp; "}.")," ")</f>
        <v>0.0</v>
      </c>
    </row>
    <row r="106" customHeight="true" ht="30.0">
      <c r="A106" s="5" t="inlineStr">
        <is>
          <t>Гренландия</t>
        </is>
      </c>
      <c r="B106" s="1" t="inlineStr">
        <is>
          <t>353</t>
        </is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13">
        <f>IFERROR(If(C106=Round(D106+Sum(F106:G106),0)," "," Стр. 353, Гр. 1 [C106]  д.б. = [Окр(D106+Сум(F106:G106),0)] {" &amp; Round(D106+Sum(F106:G106),0) &amp; "}.")," ") &amp; IFERROR(If(H106=Round(I106+Sum(K106:L106),0)," "," Стр. 353, Гр. 6 [H106]  д.б. = [Окр(I106+Сум(K106:L106),0)] {" &amp; Round(I106+Sum(K106:L106),0) &amp; "}.")," ")</f>
        <v>0.0</v>
      </c>
    </row>
    <row r="107" customHeight="true" ht="30.0">
      <c r="A107" s="5" t="inlineStr">
        <is>
          <t>Гренада</t>
        </is>
      </c>
      <c r="B107" s="1" t="inlineStr">
        <is>
          <t>354</t>
        </is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13">
        <f>IFERROR(If(C107=Round(D107+Sum(F107:G107),0)," "," Стр. 354, Гр. 1 [C107]  д.б. = [Окр(D107+Сум(F107:G107),0)] {" &amp; Round(D107+Sum(F107:G107),0) &amp; "}.")," ") &amp; IFERROR(If(H107=Round(I107+Sum(K107:L107),0)," "," Стр. 354, Гр. 6 [H107]  д.б. = [Окр(I107+Сум(K107:L107),0)] {" &amp; Round(I107+Sum(K107:L107),0) &amp; "}.")," ")</f>
        <v>0.0</v>
      </c>
    </row>
    <row r="108" customHeight="true" ht="30.0">
      <c r="A108" s="5" t="inlineStr">
        <is>
          <t>Гваделупа</t>
        </is>
      </c>
      <c r="B108" s="1" t="inlineStr">
        <is>
          <t>355</t>
        </is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13">
        <f>IFERROR(If(C108=Round(D108+Sum(F108:G108),0)," "," Стр. 355, Гр. 1 [C108]  д.б. = [Окр(D108+Сум(F108:G108),0)] {" &amp; Round(D108+Sum(F108:G108),0) &amp; "}.")," ") &amp; IFERROR(If(H108=Round(I108+Sum(K108:L108),0)," "," Стр. 355, Гр. 6 [H108]  д.б. = [Окр(I108+Сум(K108:L108),0)] {" &amp; Round(I108+Sum(K108:L108),0) &amp; "}.")," ")</f>
        <v>0.0</v>
      </c>
    </row>
    <row r="109" customHeight="true" ht="30.0">
      <c r="A109" s="5" t="inlineStr">
        <is>
          <t>Гуам</t>
        </is>
      </c>
      <c r="B109" s="1" t="inlineStr">
        <is>
          <t>356</t>
        </is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13">
        <f>IFERROR(If(C109=Round(D109+Sum(F109:G109),0)," "," Стр. 356, Гр. 1 [C109]  д.б. = [Окр(D109+Сум(F109:G109),0)] {" &amp; Round(D109+Sum(F109:G109),0) &amp; "}.")," ") &amp; IFERROR(If(H109=Round(I109+Sum(K109:L109),0)," "," Стр. 356, Гр. 6 [H109]  д.б. = [Окр(I109+Сум(K109:L109),0)] {" &amp; Round(I109+Sum(K109:L109),0) &amp; "}.")," ")</f>
        <v>0.0</v>
      </c>
    </row>
    <row r="110" customHeight="true" ht="30.0">
      <c r="A110" s="5" t="inlineStr">
        <is>
          <t>Гватемала</t>
        </is>
      </c>
      <c r="B110" s="1" t="inlineStr">
        <is>
          <t>357</t>
        </is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13">
        <f>IFERROR(If(C110=Round(D110+Sum(F110:G110),0)," "," Стр. 357, Гр. 1 [C110]  д.б. = [Окр(D110+Сум(F110:G110),0)] {" &amp; Round(D110+Sum(F110:G110),0) &amp; "}.")," ") &amp; IFERROR(If(H110=Round(I110+Sum(K110:L110),0)," "," Стр. 357, Гр. 6 [H110]  д.б. = [Окр(I110+Сум(K110:L110),0)] {" &amp; Round(I110+Sum(K110:L110),0) &amp; "}.")," ")</f>
        <v>0.0</v>
      </c>
    </row>
    <row r="111" customHeight="true" ht="30.0">
      <c r="A111" s="5" t="inlineStr">
        <is>
          <t>Гвинея</t>
        </is>
      </c>
      <c r="B111" s="1" t="inlineStr">
        <is>
          <t>358</t>
        </is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13">
        <f>IFERROR(If(C111=Round(D111+Sum(F111:G111),0)," "," Стр. 358, Гр. 1 [C111]  д.б. = [Окр(D111+Сум(F111:G111),0)] {" &amp; Round(D111+Sum(F111:G111),0) &amp; "}.")," ") &amp; IFERROR(If(H111=Round(I111+Sum(K111:L111),0)," "," Стр. 358, Гр. 6 [H111]  д.б. = [Окр(I111+Сум(K111:L111),0)] {" &amp; Round(I111+Sum(K111:L111),0) &amp; "}.")," ")</f>
        <v>0.0</v>
      </c>
    </row>
    <row r="112" customHeight="true" ht="30.0">
      <c r="A112" s="5" t="inlineStr">
        <is>
          <t>Гайана</t>
        </is>
      </c>
      <c r="B112" s="1" t="inlineStr">
        <is>
          <t>359</t>
        </is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13">
        <f>IFERROR(If(C112=Round(D112+Sum(F112:G112),0)," "," Стр. 359, Гр. 1 [C112]  д.б. = [Окр(D112+Сум(F112:G112),0)] {" &amp; Round(D112+Sum(F112:G112),0) &amp; "}.")," ") &amp; IFERROR(If(H112=Round(I112+Sum(K112:L112),0)," "," Стр. 359, Гр. 6 [H112]  д.б. = [Окр(I112+Сум(K112:L112),0)] {" &amp; Round(I112+Sum(K112:L112),0) &amp; "}.")," ")</f>
        <v>0.0</v>
      </c>
    </row>
    <row r="113" customHeight="true" ht="30.0">
      <c r="A113" s="5" t="inlineStr">
        <is>
          <t>Гаити</t>
        </is>
      </c>
      <c r="B113" s="1" t="inlineStr">
        <is>
          <t>360</t>
        </is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13">
        <f>IFERROR(If(C113=Round(D113+Sum(F113:G113),0)," "," Стр. 360, Гр. 1 [C113]  д.б. = [Окр(D113+Сум(F113:G113),0)] {" &amp; Round(D113+Sum(F113:G113),0) &amp; "}.")," ") &amp; IFERROR(If(H113=Round(I113+Sum(K113:L113),0)," "," Стр. 360, Гр. 6 [H113]  д.б. = [Окр(I113+Сум(K113:L113),0)] {" &amp; Round(I113+Sum(K113:L113),0) &amp; "}.")," ")</f>
        <v>0.0</v>
      </c>
    </row>
    <row r="114" customHeight="true" ht="30.0">
      <c r="A114" s="5" t="inlineStr">
        <is>
          <t>Остров Херд и Острова Макдональд</t>
        </is>
      </c>
      <c r="B114" s="1" t="inlineStr">
        <is>
          <t>361</t>
        </is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13">
        <f>IFERROR(If(C114=Round(D114+Sum(F114:G114),0)," "," Стр. 361, Гр. 1 [C114]  д.б. = [Окр(D114+Сум(F114:G114),0)] {" &amp; Round(D114+Sum(F114:G114),0) &amp; "}.")," ") &amp; IFERROR(If(H114=Round(I114+Sum(K114:L114),0)," "," Стр. 361, Гр. 6 [H114]  д.б. = [Окр(I114+Сум(K114:L114),0)] {" &amp; Round(I114+Sum(K114:L114),0) &amp; "}.")," ")</f>
        <v>0.0</v>
      </c>
    </row>
    <row r="115" customHeight="true" ht="30.0">
      <c r="A115" s="5" t="inlineStr">
        <is>
          <t>Папский Престол (Государство - Город Ватикан)</t>
        </is>
      </c>
      <c r="B115" s="1" t="inlineStr">
        <is>
          <t>362</t>
        </is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13">
        <f>IFERROR(If(C115=Round(D115+Sum(F115:G115),0)," "," Стр. 362, Гр. 1 [C115]  д.б. = [Окр(D115+Сум(F115:G115),0)] {" &amp; Round(D115+Sum(F115:G115),0) &amp; "}.")," ") &amp; IFERROR(If(H115=Round(I115+Sum(K115:L115),0)," "," Стр. 362, Гр. 6 [H115]  д.б. = [Окр(I115+Сум(K115:L115),0)] {" &amp; Round(I115+Sum(K115:L115),0) &amp; "}.")," ")</f>
        <v>0.0</v>
      </c>
    </row>
    <row r="116" customHeight="true" ht="30.0">
      <c r="A116" s="5" t="inlineStr">
        <is>
          <t>Гондурас</t>
        </is>
      </c>
      <c r="B116" s="1" t="inlineStr">
        <is>
          <t>363</t>
        </is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13">
        <f>IFERROR(If(C116=Round(D116+Sum(F116:G116),0)," "," Стр. 363, Гр. 1 [C116]  д.б. = [Окр(D116+Сум(F116:G116),0)] {" &amp; Round(D116+Sum(F116:G116),0) &amp; "}.")," ") &amp; IFERROR(If(H116=Round(I116+Sum(K116:L116),0)," "," Стр. 363, Гр. 6 [H116]  д.б. = [Окр(I116+Сум(K116:L116),0)] {" &amp; Round(I116+Sum(K116:L116),0) &amp; "}.")," ")</f>
        <v>0.0</v>
      </c>
    </row>
    <row r="117" customHeight="true" ht="30.0">
      <c r="A117" s="5" t="inlineStr">
        <is>
          <t>Гонконг</t>
        </is>
      </c>
      <c r="B117" s="1" t="inlineStr">
        <is>
          <t>364</t>
        </is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13">
        <f>IFERROR(If(C117=Round(D117+Sum(F117:G117),0)," "," Стр. 364, Гр. 1 [C117]  д.б. = [Окр(D117+Сум(F117:G117),0)] {" &amp; Round(D117+Sum(F117:G117),0) &amp; "}.")," ") &amp; IFERROR(If(H117=Round(I117+Sum(K117:L117),0)," "," Стр. 364, Гр. 6 [H117]  д.б. = [Окр(I117+Сум(K117:L117),0)] {" &amp; Round(I117+Sum(K117:L117),0) &amp; "}.")," ")</f>
        <v>0.0</v>
      </c>
    </row>
    <row r="118" customHeight="true" ht="30.0">
      <c r="A118" s="5" t="inlineStr">
        <is>
          <t>Венгрия</t>
        </is>
      </c>
      <c r="B118" s="1" t="inlineStr">
        <is>
          <t>365</t>
        </is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13">
        <f>IFERROR(If(C118=Round(D118+Sum(F118:G118),0)," "," Стр. 365, Гр. 1 [C118]  д.б. = [Окр(D118+Сум(F118:G118),0)] {" &amp; Round(D118+Sum(F118:G118),0) &amp; "}.")," ") &amp; IFERROR(If(H118=Round(I118+Sum(K118:L118),0)," "," Стр. 365, Гр. 6 [H118]  д.б. = [Окр(I118+Сум(K118:L118),0)] {" &amp; Round(I118+Sum(K118:L118),0) &amp; "}.")," ")</f>
        <v>0.0</v>
      </c>
    </row>
    <row r="119" customHeight="true" ht="30.0">
      <c r="A119" s="5" t="inlineStr">
        <is>
          <t>Исландия</t>
        </is>
      </c>
      <c r="B119" s="1" t="inlineStr">
        <is>
          <t>366</t>
        </is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13">
        <f>IFERROR(If(C119=Round(D119+Sum(F119:G119),0)," "," Стр. 366, Гр. 1 [C119]  д.б. = [Окр(D119+Сум(F119:G119),0)] {" &amp; Round(D119+Sum(F119:G119),0) &amp; "}.")," ") &amp; IFERROR(If(H119=Round(I119+Sum(K119:L119),0)," "," Стр. 366, Гр. 6 [H119]  д.б. = [Окр(I119+Сум(K119:L119),0)] {" &amp; Round(I119+Sum(K119:L119),0) &amp; "}.")," ")</f>
        <v>0.0</v>
      </c>
    </row>
    <row r="120" customHeight="true" ht="30.0">
      <c r="A120" s="5" t="inlineStr">
        <is>
          <t>Индия</t>
        </is>
      </c>
      <c r="B120" s="1" t="inlineStr">
        <is>
          <t>367</t>
        </is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13">
        <f>IFERROR(If(C120=Round(D120+Sum(F120:G120),0)," "," Стр. 367, Гр. 1 [C120]  д.б. = [Окр(D120+Сум(F120:G120),0)] {" &amp; Round(D120+Sum(F120:G120),0) &amp; "}.")," ") &amp; IFERROR(If(H120=Round(I120+Sum(K120:L120),0)," "," Стр. 367, Гр. 6 [H120]  д.б. = [Окр(I120+Сум(K120:L120),0)] {" &amp; Round(I120+Sum(K120:L120),0) &amp; "}.")," ")</f>
        <v>0.0</v>
      </c>
    </row>
    <row r="121" customHeight="true" ht="30.0">
      <c r="A121" s="5" t="inlineStr">
        <is>
          <t>Индонезия</t>
        </is>
      </c>
      <c r="B121" s="1" t="inlineStr">
        <is>
          <t>368</t>
        </is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13">
        <f>IFERROR(If(C121=Round(D121+Sum(F121:G121),0)," "," Стр. 368, Гр. 1 [C121]  д.б. = [Окр(D121+Сум(F121:G121),0)] {" &amp; Round(D121+Sum(F121:G121),0) &amp; "}.")," ") &amp; IFERROR(If(H121=Round(I121+Sum(K121:L121),0)," "," Стр. 368, Гр. 6 [H121]  д.б. = [Окр(I121+Сум(K121:L121),0)] {" &amp; Round(I121+Sum(K121:L121),0) &amp; "}.")," ")</f>
        <v>0.0</v>
      </c>
    </row>
    <row r="122" customHeight="true" ht="30.0">
      <c r="A122" s="5" t="inlineStr">
        <is>
          <t>Иран (Исламская Республика)</t>
        </is>
      </c>
      <c r="B122" s="1" t="inlineStr">
        <is>
          <t>369</t>
        </is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13">
        <f>IFERROR(If(C122=Round(D122+Sum(F122:G122),0)," "," Стр. 369, Гр. 1 [C122]  д.б. = [Окр(D122+Сум(F122:G122),0)] {" &amp; Round(D122+Sum(F122:G122),0) &amp; "}.")," ") &amp; IFERROR(If(H122=Round(I122+Sum(K122:L122),0)," "," Стр. 369, Гр. 6 [H122]  д.б. = [Окр(I122+Сум(K122:L122),0)] {" &amp; Round(I122+Sum(K122:L122),0) &amp; "}.")," ")</f>
        <v>0.0</v>
      </c>
    </row>
    <row r="123" customHeight="true" ht="30.0">
      <c r="A123" s="5" t="inlineStr">
        <is>
          <t>Ирак</t>
        </is>
      </c>
      <c r="B123" s="1" t="inlineStr">
        <is>
          <t>370</t>
        </is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13">
        <f>IFERROR(If(C123=Round(D123+Sum(F123:G123),0)," "," Стр. 370, Гр. 1 [C123]  д.б. = [Окр(D123+Сум(F123:G123),0)] {" &amp; Round(D123+Sum(F123:G123),0) &amp; "}.")," ") &amp; IFERROR(If(H123=Round(I123+Sum(K123:L123),0)," "," Стр. 370, Гр. 6 [H123]  д.б. = [Окр(I123+Сум(K123:L123),0)] {" &amp; Round(I123+Sum(K123:L123),0) &amp; "}.")," ")</f>
        <v>0.0</v>
      </c>
    </row>
    <row r="124" customHeight="true" ht="30.0">
      <c r="A124" s="5" t="inlineStr">
        <is>
          <t>Ирландия</t>
        </is>
      </c>
      <c r="B124" s="1" t="inlineStr">
        <is>
          <t>371</t>
        </is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13">
        <f>IFERROR(If(C124=Round(D124+Sum(F124:G124),0)," "," Стр. 371, Гр. 1 [C124]  д.б. = [Окр(D124+Сум(F124:G124),0)] {" &amp; Round(D124+Sum(F124:G124),0) &amp; "}.")," ") &amp; IFERROR(If(H124=Round(I124+Sum(K124:L124),0)," "," Стр. 371, Гр. 6 [H124]  д.б. = [Окр(I124+Сум(K124:L124),0)] {" &amp; Round(I124+Sum(K124:L124),0) &amp; "}.")," ")</f>
        <v>0.0</v>
      </c>
    </row>
    <row r="125" customHeight="true" ht="30.0">
      <c r="A125" s="5" t="inlineStr">
        <is>
          <t>Израиль</t>
        </is>
      </c>
      <c r="B125" s="1" t="inlineStr">
        <is>
          <t>372</t>
        </is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13">
        <f>IFERROR(If(C125=Round(D125+Sum(F125:G125),0)," "," Стр. 372, Гр. 1 [C125]  д.б. = [Окр(D125+Сум(F125:G125),0)] {" &amp; Round(D125+Sum(F125:G125),0) &amp; "}.")," ") &amp; IFERROR(If(H125=Round(I125+Sum(K125:L125),0)," "," Стр. 372, Гр. 6 [H125]  д.б. = [Окр(I125+Сум(K125:L125),0)] {" &amp; Round(I125+Sum(K125:L125),0) &amp; "}.")," ")</f>
        <v>0.0</v>
      </c>
    </row>
    <row r="126" customHeight="true" ht="30.0">
      <c r="A126" s="5" t="inlineStr">
        <is>
          <t>Италия</t>
        </is>
      </c>
      <c r="B126" s="1" t="inlineStr">
        <is>
          <t>373</t>
        </is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13">
        <f>IFERROR(If(C126=Round(D126+Sum(F126:G126),0)," "," Стр. 373, Гр. 1 [C126]  д.б. = [Окр(D126+Сум(F126:G126),0)] {" &amp; Round(D126+Sum(F126:G126),0) &amp; "}.")," ") &amp; IFERROR(If(H126=Round(I126+Sum(K126:L126),0)," "," Стр. 373, Гр. 6 [H126]  д.б. = [Окр(I126+Сум(K126:L126),0)] {" &amp; Round(I126+Sum(K126:L126),0) &amp; "}.")," ")</f>
        <v>0.0</v>
      </c>
    </row>
    <row r="127" customHeight="true" ht="30.0">
      <c r="A127" s="5" t="inlineStr">
        <is>
          <t>Кот д'Ивуар</t>
        </is>
      </c>
      <c r="B127" s="1" t="inlineStr">
        <is>
          <t>374</t>
        </is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13">
        <f>IFERROR(If(C127=Round(D127+Sum(F127:G127),0)," "," Стр. 374, Гр. 1 [C127]  д.б. = [Окр(D127+Сум(F127:G127),0)] {" &amp; Round(D127+Sum(F127:G127),0) &amp; "}.")," ") &amp; IFERROR(If(H127=Round(I127+Sum(K127:L127),0)," "," Стр. 374, Гр. 6 [H127]  д.б. = [Окр(I127+Сум(K127:L127),0)] {" &amp; Round(I127+Sum(K127:L127),0) &amp; "}.")," ")</f>
        <v>0.0</v>
      </c>
    </row>
    <row r="128" customHeight="true" ht="30.0">
      <c r="A128" s="5" t="inlineStr">
        <is>
          <t>Ямайка</t>
        </is>
      </c>
      <c r="B128" s="1" t="inlineStr">
        <is>
          <t>375</t>
        </is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13">
        <f>IFERROR(If(C128=Round(D128+Sum(F128:G128),0)," "," Стр. 375, Гр. 1 [C128]  д.б. = [Окр(D128+Сум(F128:G128),0)] {" &amp; Round(D128+Sum(F128:G128),0) &amp; "}.")," ") &amp; IFERROR(If(H128=Round(I128+Sum(K128:L128),0)," "," Стр. 375, Гр. 6 [H128]  д.б. = [Окр(I128+Сум(K128:L128),0)] {" &amp; Round(I128+Sum(K128:L128),0) &amp; "}.")," ")</f>
        <v>0.0</v>
      </c>
    </row>
    <row r="129" customHeight="true" ht="30.0">
      <c r="A129" s="5" t="inlineStr">
        <is>
          <t>Япония</t>
        </is>
      </c>
      <c r="B129" s="1" t="inlineStr">
        <is>
          <t>376</t>
        </is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13">
        <f>IFERROR(If(C129=Round(D129+Sum(F129:G129),0)," "," Стр. 376, Гр. 1 [C129]  д.б. = [Окр(D129+Сум(F129:G129),0)] {" &amp; Round(D129+Sum(F129:G129),0) &amp; "}.")," ") &amp; IFERROR(If(H129=Round(I129+Sum(K129:L129),0)," "," Стр. 376, Гр. 6 [H129]  д.б. = [Окр(I129+Сум(K129:L129),0)] {" &amp; Round(I129+Sum(K129:L129),0) &amp; "}.")," ")</f>
        <v>0.0</v>
      </c>
    </row>
    <row r="130" customHeight="true" ht="30.0">
      <c r="A130" s="5" t="inlineStr">
        <is>
          <t>Иордания</t>
        </is>
      </c>
      <c r="B130" s="1" t="inlineStr">
        <is>
          <t>377</t>
        </is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13">
        <f>IFERROR(If(C130=Round(D130+Sum(F130:G130),0)," "," Стр. 377, Гр. 1 [C130]  д.б. = [Окр(D130+Сум(F130:G130),0)] {" &amp; Round(D130+Sum(F130:G130),0) &amp; "}.")," ") &amp; IFERROR(If(H130=Round(I130+Sum(K130:L130),0)," "," Стр. 377, Гр. 6 [H130]  д.б. = [Окр(I130+Сум(K130:L130),0)] {" &amp; Round(I130+Sum(K130:L130),0) &amp; "}.")," ")</f>
        <v>0.0</v>
      </c>
    </row>
    <row r="131" customHeight="true" ht="30.0">
      <c r="A131" s="5" t="inlineStr">
        <is>
          <t>Кения</t>
        </is>
      </c>
      <c r="B131" s="1" t="inlineStr">
        <is>
          <t>378</t>
        </is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13">
        <f>IFERROR(If(C131=Round(D131+Sum(F131:G131),0)," "," Стр. 378, Гр. 1 [C131]  д.б. = [Окр(D131+Сум(F131:G131),0)] {" &amp; Round(D131+Sum(F131:G131),0) &amp; "}.")," ") &amp; IFERROR(If(H131=Round(I131+Sum(K131:L131),0)," "," Стр. 378, Гр. 6 [H131]  д.б. = [Окр(I131+Сум(K131:L131),0)] {" &amp; Round(I131+Sum(K131:L131),0) &amp; "}.")," ")</f>
        <v>0.0</v>
      </c>
    </row>
    <row r="132" customHeight="true" ht="30.0">
      <c r="A132" s="5" t="inlineStr">
        <is>
          <t>Корея, Народно-Демократическая Республика</t>
        </is>
      </c>
      <c r="B132" s="1" t="inlineStr">
        <is>
          <t>379</t>
        </is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13">
        <f>IFERROR(If(C132=Round(D132+Sum(F132:G132),0)," "," Стр. 379, Гр. 1 [C132]  д.б. = [Окр(D132+Сум(F132:G132),0)] {" &amp; Round(D132+Sum(F132:G132),0) &amp; "}.")," ") &amp; IFERROR(If(H132=Round(I132+Sum(K132:L132),0)," "," Стр. 379, Гр. 6 [H132]  д.б. = [Окр(I132+Сум(K132:L132),0)] {" &amp; Round(I132+Sum(K132:L132),0) &amp; "}.")," ")</f>
        <v>0.0</v>
      </c>
    </row>
    <row r="133" customHeight="true" ht="30.0">
      <c r="A133" s="5" t="inlineStr">
        <is>
          <t>Корея, Республика</t>
        </is>
      </c>
      <c r="B133" s="1" t="inlineStr">
        <is>
          <t>380</t>
        </is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13">
        <f>IFERROR(If(C133=Round(D133+Sum(F133:G133),0)," "," Стр. 380, Гр. 1 [C133]  д.б. = [Окр(D133+Сум(F133:G133),0)] {" &amp; Round(D133+Sum(F133:G133),0) &amp; "}.")," ") &amp; IFERROR(If(H133=Round(I133+Sum(K133:L133),0)," "," Стр. 380, Гр. 6 [H133]  д.б. = [Окр(I133+Сум(K133:L133),0)] {" &amp; Round(I133+Sum(K133:L133),0) &amp; "}.")," ")</f>
        <v>0.0</v>
      </c>
    </row>
    <row r="134" customHeight="true" ht="30.0">
      <c r="A134" s="5" t="inlineStr">
        <is>
          <t>Кувейт</t>
        </is>
      </c>
      <c r="B134" s="1" t="inlineStr">
        <is>
          <t>381</t>
        </is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13">
        <f>IFERROR(If(C134=Round(D134+Sum(F134:G134),0)," "," Стр. 381, Гр. 1 [C134]  д.б. = [Окр(D134+Сум(F134:G134),0)] {" &amp; Round(D134+Sum(F134:G134),0) &amp; "}.")," ") &amp; IFERROR(If(H134=Round(I134+Sum(K134:L134),0)," "," Стр. 381, Гр. 6 [H134]  д.б. = [Окр(I134+Сум(K134:L134),0)] {" &amp; Round(I134+Sum(K134:L134),0) &amp; "}.")," ")</f>
        <v>0.0</v>
      </c>
    </row>
    <row r="135" customHeight="true" ht="30.0">
      <c r="A135" s="5" t="inlineStr">
        <is>
          <t>Лаосская Народно-Демократическая Республика</t>
        </is>
      </c>
      <c r="B135" s="1" t="inlineStr">
        <is>
          <t>382</t>
        </is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13">
        <f>IFERROR(If(C135=Round(D135+Sum(F135:G135),0)," "," Стр. 382, Гр. 1 [C135]  д.б. = [Окр(D135+Сум(F135:G135),0)] {" &amp; Round(D135+Sum(F135:G135),0) &amp; "}.")," ") &amp; IFERROR(If(H135=Round(I135+Sum(K135:L135),0)," "," Стр. 382, Гр. 6 [H135]  д.б. = [Окр(I135+Сум(K135:L135),0)] {" &amp; Round(I135+Sum(K135:L135),0) &amp; "}.")," ")</f>
        <v>0.0</v>
      </c>
    </row>
    <row r="136" customHeight="true" ht="30.0">
      <c r="A136" s="5" t="inlineStr">
        <is>
          <t>Ливан</t>
        </is>
      </c>
      <c r="B136" s="1" t="inlineStr">
        <is>
          <t>383</t>
        </is>
      </c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13">
        <f>IFERROR(If(C136=Round(D136+Sum(F136:G136),0)," "," Стр. 383, Гр. 1 [C136]  д.б. = [Окр(D136+Сум(F136:G136),0)] {" &amp; Round(D136+Sum(F136:G136),0) &amp; "}.")," ") &amp; IFERROR(If(H136=Round(I136+Sum(K136:L136),0)," "," Стр. 383, Гр. 6 [H136]  д.б. = [Окр(I136+Сум(K136:L136),0)] {" &amp; Round(I136+Sum(K136:L136),0) &amp; "}.")," ")</f>
        <v>0.0</v>
      </c>
    </row>
    <row r="137" customHeight="true" ht="30.0">
      <c r="A137" s="5" t="inlineStr">
        <is>
          <t>Лесото</t>
        </is>
      </c>
      <c r="B137" s="1" t="inlineStr">
        <is>
          <t>384</t>
        </is>
      </c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13">
        <f>IFERROR(If(C137=Round(D137+Sum(F137:G137),0)," "," Стр. 384, Гр. 1 [C137]  д.б. = [Окр(D137+Сум(F137:G137),0)] {" &amp; Round(D137+Sum(F137:G137),0) &amp; "}.")," ") &amp; IFERROR(If(H137=Round(I137+Sum(K137:L137),0)," "," Стр. 384, Гр. 6 [H137]  д.б. = [Окр(I137+Сум(K137:L137),0)] {" &amp; Round(I137+Sum(K137:L137),0) &amp; "}.")," ")</f>
        <v>0.0</v>
      </c>
    </row>
    <row r="138" customHeight="true" ht="30.0">
      <c r="A138" s="5" t="inlineStr">
        <is>
          <t>Латвия</t>
        </is>
      </c>
      <c r="B138" s="1" t="inlineStr">
        <is>
          <t>385</t>
        </is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13">
        <f>IFERROR(If(C138=Round(D138+Sum(F138:G138),0)," "," Стр. 385, Гр. 1 [C138]  д.б. = [Окр(D138+Сум(F138:G138),0)] {" &amp; Round(D138+Sum(F138:G138),0) &amp; "}.")," ") &amp; IFERROR(If(H138=Round(I138+Sum(K138:L138),0)," "," Стр. 385, Гр. 6 [H138]  д.б. = [Окр(I138+Сум(K138:L138),0)] {" &amp; Round(I138+Sum(K138:L138),0) &amp; "}.")," ")</f>
        <v>0.0</v>
      </c>
    </row>
    <row r="139" customHeight="true" ht="30.0">
      <c r="A139" s="5" t="inlineStr">
        <is>
          <t>Либерия</t>
        </is>
      </c>
      <c r="B139" s="1" t="inlineStr">
        <is>
          <t>386</t>
        </is>
      </c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13">
        <f>IFERROR(If(C139=Round(D139+Sum(F139:G139),0)," "," Стр. 386, Гр. 1 [C139]  д.б. = [Окр(D139+Сум(F139:G139),0)] {" &amp; Round(D139+Sum(F139:G139),0) &amp; "}.")," ") &amp; IFERROR(If(H139=Round(I139+Sum(K139:L139),0)," "," Стр. 386, Гр. 6 [H139]  д.б. = [Окр(I139+Сум(K139:L139),0)] {" &amp; Round(I139+Sum(K139:L139),0) &amp; "}.")," ")</f>
        <v>0.0</v>
      </c>
    </row>
    <row r="140" customHeight="true" ht="30.0">
      <c r="A140" s="5" t="inlineStr">
        <is>
          <t>Ливия</t>
        </is>
      </c>
      <c r="B140" s="1" t="inlineStr">
        <is>
          <t>387</t>
        </is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13">
        <f>IFERROR(If(C140=Round(D140+Sum(F140:G140),0)," "," Стр. 387, Гр. 1 [C140]  д.б. = [Окр(D140+Сум(F140:G140),0)] {" &amp; Round(D140+Sum(F140:G140),0) &amp; "}.")," ") &amp; IFERROR(If(H140=Round(I140+Sum(K140:L140),0)," "," Стр. 387, Гр. 6 [H140]  д.б. = [Окр(I140+Сум(K140:L140),0)] {" &amp; Round(I140+Sum(K140:L140),0) &amp; "}.")," ")</f>
        <v>0.0</v>
      </c>
    </row>
    <row r="141" customHeight="true" ht="30.0">
      <c r="A141" s="5" t="inlineStr">
        <is>
          <t>Лихтенштейн</t>
        </is>
      </c>
      <c r="B141" s="1" t="inlineStr">
        <is>
          <t>388</t>
        </is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13">
        <f>IFERROR(If(C141=Round(D141+Sum(F141:G141),0)," "," Стр. 388, Гр. 1 [C141]  д.б. = [Окр(D141+Сум(F141:G141),0)] {" &amp; Round(D141+Sum(F141:G141),0) &amp; "}.")," ") &amp; IFERROR(If(H141=Round(I141+Sum(K141:L141),0)," "," Стр. 388, Гр. 6 [H141]  д.б. = [Окр(I141+Сум(K141:L141),0)] {" &amp; Round(I141+Sum(K141:L141),0) &amp; "}.")," ")</f>
        <v>0.0</v>
      </c>
    </row>
    <row r="142" customHeight="true" ht="30.0">
      <c r="A142" s="5" t="inlineStr">
        <is>
          <t>Литва</t>
        </is>
      </c>
      <c r="B142" s="1" t="inlineStr">
        <is>
          <t>389</t>
        </is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13">
        <f>IFERROR(If(C142=Round(D142+Sum(F142:G142),0)," "," Стр. 389, Гр. 1 [C142]  д.б. = [Окр(D142+Сум(F142:G142),0)] {" &amp; Round(D142+Sum(F142:G142),0) &amp; "}.")," ") &amp; IFERROR(If(H142=Round(I142+Sum(K142:L142),0)," "," Стр. 389, Гр. 6 [H142]  д.б. = [Окр(I142+Сум(K142:L142),0)] {" &amp; Round(I142+Sum(K142:L142),0) &amp; "}.")," ")</f>
        <v>0.0</v>
      </c>
    </row>
    <row r="143" customHeight="true" ht="30.0">
      <c r="A143" s="5" t="inlineStr">
        <is>
          <t>Люксембург</t>
        </is>
      </c>
      <c r="B143" s="1" t="inlineStr">
        <is>
          <t>390</t>
        </is>
      </c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13">
        <f>IFERROR(If(C143=Round(D143+Sum(F143:G143),0)," "," Стр. 390, Гр. 1 [C143]  д.б. = [Окр(D143+Сум(F143:G143),0)] {" &amp; Round(D143+Sum(F143:G143),0) &amp; "}.")," ") &amp; IFERROR(If(H143=Round(I143+Sum(K143:L143),0)," "," Стр. 390, Гр. 6 [H143]  д.б. = [Окр(I143+Сум(K143:L143),0)] {" &amp; Round(I143+Sum(K143:L143),0) &amp; "}.")," ")</f>
        <v>0.0</v>
      </c>
    </row>
    <row r="144" customHeight="true" ht="30.0">
      <c r="A144" s="5" t="inlineStr">
        <is>
          <t>Макао</t>
        </is>
      </c>
      <c r="B144" s="1" t="inlineStr">
        <is>
          <t>391</t>
        </is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13">
        <f>IFERROR(If(C144=Round(D144+Sum(F144:G144),0)," "," Стр. 391, Гр. 1 [C144]  д.б. = [Окр(D144+Сум(F144:G144),0)] {" &amp; Round(D144+Sum(F144:G144),0) &amp; "}.")," ") &amp; IFERROR(If(H144=Round(I144+Sum(K144:L144),0)," "," Стр. 391, Гр. 6 [H144]  д.б. = [Окр(I144+Сум(K144:L144),0)] {" &amp; Round(I144+Sum(K144:L144),0) &amp; "}.")," ")</f>
        <v>0.0</v>
      </c>
    </row>
    <row r="145" customHeight="true" ht="30.0">
      <c r="A145" s="5" t="inlineStr">
        <is>
          <t>Мадагаскар</t>
        </is>
      </c>
      <c r="B145" s="1" t="inlineStr">
        <is>
          <t>392</t>
        </is>
      </c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13">
        <f>IFERROR(If(C145=Round(D145+Sum(F145:G145),0)," "," Стр. 392, Гр. 1 [C145]  д.б. = [Окр(D145+Сум(F145:G145),0)] {" &amp; Round(D145+Sum(F145:G145),0) &amp; "}.")," ") &amp; IFERROR(If(H145=Round(I145+Sum(K145:L145),0)," "," Стр. 392, Гр. 6 [H145]  д.б. = [Окр(I145+Сум(K145:L145),0)] {" &amp; Round(I145+Sum(K145:L145),0) &amp; "}.")," ")</f>
        <v>0.0</v>
      </c>
    </row>
    <row r="146" customHeight="true" ht="30.0">
      <c r="A146" s="5" t="inlineStr">
        <is>
          <t>Малави</t>
        </is>
      </c>
      <c r="B146" s="1" t="inlineStr">
        <is>
          <t>393</t>
        </is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13">
        <f>IFERROR(If(C146=Round(D146+Sum(F146:G146),0)," "," Стр. 393, Гр. 1 [C146]  д.б. = [Окр(D146+Сум(F146:G146),0)] {" &amp; Round(D146+Sum(F146:G146),0) &amp; "}.")," ") &amp; IFERROR(If(H146=Round(I146+Sum(K146:L146),0)," "," Стр. 393, Гр. 6 [H146]  д.б. = [Окр(I146+Сум(K146:L146),0)] {" &amp; Round(I146+Sum(K146:L146),0) &amp; "}.")," ")</f>
        <v>0.0</v>
      </c>
    </row>
    <row r="147" customHeight="true" ht="30.0">
      <c r="A147" s="5" t="inlineStr">
        <is>
          <t>Малайзия</t>
        </is>
      </c>
      <c r="B147" s="1" t="inlineStr">
        <is>
          <t>394</t>
        </is>
      </c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13">
        <f>IFERROR(If(C147=Round(D147+Sum(F147:G147),0)," "," Стр. 394, Гр. 1 [C147]  д.б. = [Окр(D147+Сум(F147:G147),0)] {" &amp; Round(D147+Sum(F147:G147),0) &amp; "}.")," ") &amp; IFERROR(If(H147=Round(I147+Sum(K147:L147),0)," "," Стр. 394, Гр. 6 [H147]  д.б. = [Окр(I147+Сум(K147:L147),0)] {" &amp; Round(I147+Sum(K147:L147),0) &amp; "}.")," ")</f>
        <v>0.0</v>
      </c>
    </row>
    <row r="148" customHeight="true" ht="30.0">
      <c r="A148" s="5" t="inlineStr">
        <is>
          <t>Мальдивы</t>
        </is>
      </c>
      <c r="B148" s="1" t="inlineStr">
        <is>
          <t>395</t>
        </is>
      </c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13">
        <f>IFERROR(If(C148=Round(D148+Sum(F148:G148),0)," "," Стр. 395, Гр. 1 [C148]  д.б. = [Окр(D148+Сум(F148:G148),0)] {" &amp; Round(D148+Sum(F148:G148),0) &amp; "}.")," ") &amp; IFERROR(If(H148=Round(I148+Sum(K148:L148),0)," "," Стр. 395, Гр. 6 [H148]  д.б. = [Окр(I148+Сум(K148:L148),0)] {" &amp; Round(I148+Sum(K148:L148),0) &amp; "}.")," ")</f>
        <v>0.0</v>
      </c>
    </row>
    <row r="149" customHeight="true" ht="30.0">
      <c r="A149" s="5" t="inlineStr">
        <is>
          <t>Мали</t>
        </is>
      </c>
      <c r="B149" s="1" t="inlineStr">
        <is>
          <t>396</t>
        </is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13">
        <f>IFERROR(If(C149=Round(D149+Sum(F149:G149),0)," "," Стр. 396, Гр. 1 [C149]  д.б. = [Окр(D149+Сум(F149:G149),0)] {" &amp; Round(D149+Sum(F149:G149),0) &amp; "}.")," ") &amp; IFERROR(If(H149=Round(I149+Sum(K149:L149),0)," "," Стр. 396, Гр. 6 [H149]  д.б. = [Окр(I149+Сум(K149:L149),0)] {" &amp; Round(I149+Sum(K149:L149),0) &amp; "}.")," ")</f>
        <v>0.0</v>
      </c>
    </row>
    <row r="150" customHeight="true" ht="30.0">
      <c r="A150" s="5" t="inlineStr">
        <is>
          <t>Мальта</t>
        </is>
      </c>
      <c r="B150" s="1" t="inlineStr">
        <is>
          <t>397</t>
        </is>
      </c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13">
        <f>IFERROR(If(C150=Round(D150+Sum(F150:G150),0)," "," Стр. 397, Гр. 1 [C150]  д.б. = [Окр(D150+Сум(F150:G150),0)] {" &amp; Round(D150+Sum(F150:G150),0) &amp; "}.")," ") &amp; IFERROR(If(H150=Round(I150+Sum(K150:L150),0)," "," Стр. 397, Гр. 6 [H150]  д.б. = [Окр(I150+Сум(K150:L150),0)] {" &amp; Round(I150+Sum(K150:L150),0) &amp; "}.")," ")</f>
        <v>0.0</v>
      </c>
    </row>
    <row r="151" customHeight="true" ht="30.0">
      <c r="A151" s="5" t="inlineStr">
        <is>
          <t>Мартиника</t>
        </is>
      </c>
      <c r="B151" s="1" t="inlineStr">
        <is>
          <t>398</t>
        </is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13">
        <f>IFERROR(If(C151=Round(D151+Sum(F151:G151),0)," "," Стр. 398, Гр. 1 [C151]  д.б. = [Окр(D151+Сум(F151:G151),0)] {" &amp; Round(D151+Sum(F151:G151),0) &amp; "}.")," ") &amp; IFERROR(If(H151=Round(I151+Sum(K151:L151),0)," "," Стр. 398, Гр. 6 [H151]  д.б. = [Окр(I151+Сум(K151:L151),0)] {" &amp; Round(I151+Sum(K151:L151),0) &amp; "}.")," ")</f>
        <v>0.0</v>
      </c>
    </row>
    <row r="152" customHeight="true" ht="30.0">
      <c r="A152" s="5" t="inlineStr">
        <is>
          <t>Мавритания</t>
        </is>
      </c>
      <c r="B152" s="1" t="inlineStr">
        <is>
          <t>399</t>
        </is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13">
        <f>IFERROR(If(C152=Round(D152+Sum(F152:G152),0)," "," Стр. 399, Гр. 1 [C152]  д.б. = [Окр(D152+Сум(F152:G152),0)] {" &amp; Round(D152+Sum(F152:G152),0) &amp; "}.")," ") &amp; IFERROR(If(H152=Round(I152+Sum(K152:L152),0)," "," Стр. 399, Гр. 6 [H152]  д.б. = [Окр(I152+Сум(K152:L152),0)] {" &amp; Round(I152+Sum(K152:L152),0) &amp; "}.")," ")</f>
        <v>0.0</v>
      </c>
    </row>
    <row r="153" customHeight="true" ht="30.0">
      <c r="A153" s="5" t="inlineStr">
        <is>
          <t>Маврикий</t>
        </is>
      </c>
      <c r="B153" s="1" t="inlineStr">
        <is>
          <t>400</t>
        </is>
      </c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13">
        <f>IFERROR(If(C153=Round(D153+Sum(F153:G153),0)," "," Стр. 400, Гр. 1 [C153]  д.б. = [Окр(D153+Сум(F153:G153),0)] {" &amp; Round(D153+Sum(F153:G153),0) &amp; "}.")," ") &amp; IFERROR(If(H153=Round(I153+Sum(K153:L153),0)," "," Стр. 400, Гр. 6 [H153]  д.б. = [Окр(I153+Сум(K153:L153),0)] {" &amp; Round(I153+Sum(K153:L153),0) &amp; "}.")," ")</f>
        <v>0.0</v>
      </c>
    </row>
    <row r="154" customHeight="true" ht="30.0">
      <c r="A154" s="5" t="inlineStr">
        <is>
          <t>Мексика</t>
        </is>
      </c>
      <c r="B154" s="1" t="inlineStr">
        <is>
          <t>401</t>
        </is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13">
        <f>IFERROR(If(C154=Round(D154+Sum(F154:G154),0)," "," Стр. 401, Гр. 1 [C154]  д.б. = [Окр(D154+Сум(F154:G154),0)] {" &amp; Round(D154+Sum(F154:G154),0) &amp; "}.")," ") &amp; IFERROR(If(H154=Round(I154+Sum(K154:L154),0)," "," Стр. 401, Гр. 6 [H154]  д.б. = [Окр(I154+Сум(K154:L154),0)] {" &amp; Round(I154+Sum(K154:L154),0) &amp; "}.")," ")</f>
        <v>0.0</v>
      </c>
    </row>
    <row r="155" customHeight="true" ht="30.0">
      <c r="A155" s="5" t="inlineStr">
        <is>
          <t>Монако</t>
        </is>
      </c>
      <c r="B155" s="1" t="inlineStr">
        <is>
          <t>402</t>
        </is>
      </c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13">
        <f>IFERROR(If(C155=Round(D155+Sum(F155:G155),0)," "," Стр. 402, Гр. 1 [C155]  д.б. = [Окр(D155+Сум(F155:G155),0)] {" &amp; Round(D155+Sum(F155:G155),0) &amp; "}.")," ") &amp; IFERROR(If(H155=Round(I155+Sum(K155:L155),0)," "," Стр. 402, Гр. 6 [H155]  д.б. = [Окр(I155+Сум(K155:L155),0)] {" &amp; Round(I155+Sum(K155:L155),0) &amp; "}.")," ")</f>
        <v>0.0</v>
      </c>
    </row>
    <row r="156" customHeight="true" ht="30.0">
      <c r="A156" s="5" t="inlineStr">
        <is>
          <t>Монголия</t>
        </is>
      </c>
      <c r="B156" s="1" t="inlineStr">
        <is>
          <t>403</t>
        </is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13">
        <f>IFERROR(If(C156=Round(D156+Sum(F156:G156),0)," "," Стр. 403, Гр. 1 [C156]  д.б. = [Окр(D156+Сум(F156:G156),0)] {" &amp; Round(D156+Sum(F156:G156),0) &amp; "}.")," ") &amp; IFERROR(If(H156=Round(I156+Sum(K156:L156),0)," "," Стр. 403, Гр. 6 [H156]  д.б. = [Окр(I156+Сум(K156:L156),0)] {" &amp; Round(I156+Sum(K156:L156),0) &amp; "}.")," ")</f>
        <v>0.0</v>
      </c>
    </row>
    <row r="157" customHeight="true" ht="30.0">
      <c r="A157" s="5" t="inlineStr">
        <is>
          <t>Черногория</t>
        </is>
      </c>
      <c r="B157" s="1" t="inlineStr">
        <is>
          <t>404</t>
        </is>
      </c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13">
        <f>IFERROR(If(C157=Round(D157+Sum(F157:G157),0)," "," Стр. 404, Гр. 1 [C157]  д.б. = [Окр(D157+Сум(F157:G157),0)] {" &amp; Round(D157+Sum(F157:G157),0) &amp; "}.")," ") &amp; IFERROR(If(H157=Round(I157+Sum(K157:L157),0)," "," Стр. 404, Гр. 6 [H157]  д.б. = [Окр(I157+Сум(K157:L157),0)] {" &amp; Round(I157+Sum(K157:L157),0) &amp; "}.")," ")</f>
        <v>0.0</v>
      </c>
    </row>
    <row r="158" customHeight="true" ht="30.0">
      <c r="A158" s="5" t="inlineStr">
        <is>
          <t>Монтсеррат</t>
        </is>
      </c>
      <c r="B158" s="1" t="inlineStr">
        <is>
          <t>405</t>
        </is>
      </c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13">
        <f>IFERROR(If(C158=Round(D158+Sum(F158:G158),0)," "," Стр. 405, Гр. 1 [C158]  д.б. = [Окр(D158+Сум(F158:G158),0)] {" &amp; Round(D158+Sum(F158:G158),0) &amp; "}.")," ") &amp; IFERROR(If(H158=Round(I158+Sum(K158:L158),0)," "," Стр. 405, Гр. 6 [H158]  д.б. = [Окр(I158+Сум(K158:L158),0)] {" &amp; Round(I158+Sum(K158:L158),0) &amp; "}.")," ")</f>
        <v>0.0</v>
      </c>
    </row>
    <row r="159" customHeight="true" ht="30.0">
      <c r="A159" s="5" t="inlineStr">
        <is>
          <t>Марокко</t>
        </is>
      </c>
      <c r="B159" s="1" t="inlineStr">
        <is>
          <t>406</t>
        </is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13">
        <f>IFERROR(If(C159=Round(D159+Sum(F159:G159),0)," "," Стр. 406, Гр. 1 [C159]  д.б. = [Окр(D159+Сум(F159:G159),0)] {" &amp; Round(D159+Sum(F159:G159),0) &amp; "}.")," ") &amp; IFERROR(If(H159=Round(I159+Sum(K159:L159),0)," "," Стр. 406, Гр. 6 [H159]  д.б. = [Окр(I159+Сум(K159:L159),0)] {" &amp; Round(I159+Sum(K159:L159),0) &amp; "}.")," ")</f>
        <v>0.0</v>
      </c>
    </row>
    <row r="160" customHeight="true" ht="30.0">
      <c r="A160" s="5" t="inlineStr">
        <is>
          <t>Мозамбик</t>
        </is>
      </c>
      <c r="B160" s="1" t="inlineStr">
        <is>
          <t>407</t>
        </is>
      </c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13">
        <f>IFERROR(If(C160=Round(D160+Sum(F160:G160),0)," "," Стр. 407, Гр. 1 [C160]  д.б. = [Окр(D160+Сум(F160:G160),0)] {" &amp; Round(D160+Sum(F160:G160),0) &amp; "}.")," ") &amp; IFERROR(If(H160=Round(I160+Sum(K160:L160),0)," "," Стр. 407, Гр. 6 [H160]  д.б. = [Окр(I160+Сум(K160:L160),0)] {" &amp; Round(I160+Sum(K160:L160),0) &amp; "}.")," ")</f>
        <v>0.0</v>
      </c>
    </row>
    <row r="161" customHeight="true" ht="30.0">
      <c r="A161" s="5" t="inlineStr">
        <is>
          <t>Оман</t>
        </is>
      </c>
      <c r="B161" s="1" t="inlineStr">
        <is>
          <t>408</t>
        </is>
      </c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13">
        <f>IFERROR(If(C161=Round(D161+Sum(F161:G161),0)," "," Стр. 408, Гр. 1 [C161]  д.б. = [Окр(D161+Сум(F161:G161),0)] {" &amp; Round(D161+Sum(F161:G161),0) &amp; "}.")," ") &amp; IFERROR(If(H161=Round(I161+Sum(K161:L161),0)," "," Стр. 408, Гр. 6 [H161]  д.б. = [Окр(I161+Сум(K161:L161),0)] {" &amp; Round(I161+Sum(K161:L161),0) &amp; "}.")," ")</f>
        <v>0.0</v>
      </c>
    </row>
    <row r="162" customHeight="true" ht="30.0">
      <c r="A162" s="5" t="inlineStr">
        <is>
          <t>Намибия</t>
        </is>
      </c>
      <c r="B162" s="1" t="inlineStr">
        <is>
          <t>409</t>
        </is>
      </c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13">
        <f>IFERROR(If(C162=Round(D162+Sum(F162:G162),0)," "," Стр. 409, Гр. 1 [C162]  д.б. = [Окр(D162+Сум(F162:G162),0)] {" &amp; Round(D162+Sum(F162:G162),0) &amp; "}.")," ") &amp; IFERROR(If(H162=Round(I162+Sum(K162:L162),0)," "," Стр. 409, Гр. 6 [H162]  д.б. = [Окр(I162+Сум(K162:L162),0)] {" &amp; Round(I162+Sum(K162:L162),0) &amp; "}.")," ")</f>
        <v>0.0</v>
      </c>
    </row>
    <row r="163" customHeight="true" ht="30.0">
      <c r="A163" s="5" t="inlineStr">
        <is>
          <t>Науру</t>
        </is>
      </c>
      <c r="B163" s="1" t="inlineStr">
        <is>
          <t>410</t>
        </is>
      </c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13">
        <f>IFERROR(If(C163=Round(D163+Sum(F163:G163),0)," "," Стр. 410, Гр. 1 [C163]  д.б. = [Окр(D163+Сум(F163:G163),0)] {" &amp; Round(D163+Sum(F163:G163),0) &amp; "}.")," ") &amp; IFERROR(If(H163=Round(I163+Sum(K163:L163),0)," "," Стр. 410, Гр. 6 [H163]  д.б. = [Окр(I163+Сум(K163:L163),0)] {" &amp; Round(I163+Sum(K163:L163),0) &amp; "}.")," ")</f>
        <v>0.0</v>
      </c>
    </row>
    <row r="164" customHeight="true" ht="30.0">
      <c r="A164" s="5" t="inlineStr">
        <is>
          <t>Непал</t>
        </is>
      </c>
      <c r="B164" s="1" t="inlineStr">
        <is>
          <t>411</t>
        </is>
      </c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13">
        <f>IFERROR(If(C164=Round(D164+Sum(F164:G164),0)," "," Стр. 411, Гр. 1 [C164]  д.б. = [Окр(D164+Сум(F164:G164),0)] {" &amp; Round(D164+Sum(F164:G164),0) &amp; "}.")," ") &amp; IFERROR(If(H164=Round(I164+Sum(K164:L164),0)," "," Стр. 411, Гр. 6 [H164]  д.б. = [Окр(I164+Сум(K164:L164),0)] {" &amp; Round(I164+Sum(K164:L164),0) &amp; "}.")," ")</f>
        <v>0.0</v>
      </c>
    </row>
    <row r="165" customHeight="true" ht="30.0">
      <c r="A165" s="5" t="inlineStr">
        <is>
          <t>Нидерланды</t>
        </is>
      </c>
      <c r="B165" s="1" t="inlineStr">
        <is>
          <t>412</t>
        </is>
      </c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13">
        <f>IFERROR(If(C165=Round(D165+Sum(F165:G165),0)," "," Стр. 412, Гр. 1 [C165]  д.б. = [Окр(D165+Сум(F165:G165),0)] {" &amp; Round(D165+Sum(F165:G165),0) &amp; "}.")," ") &amp; IFERROR(If(H165=Round(I165+Sum(K165:L165),0)," "," Стр. 412, Гр. 6 [H165]  д.б. = [Окр(I165+Сум(K165:L165),0)] {" &amp; Round(I165+Sum(K165:L165),0) &amp; "}.")," ")</f>
        <v>0.0</v>
      </c>
    </row>
    <row r="166" customHeight="true" ht="30.0">
      <c r="A166" s="5" t="inlineStr">
        <is>
          <t>Кюрасао</t>
        </is>
      </c>
      <c r="B166" s="1" t="inlineStr">
        <is>
          <t>413</t>
        </is>
      </c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13">
        <f>IFERROR(If(C166=Round(D166+Sum(F166:G166),0)," "," Стр. 413, Гр. 1 [C166]  д.б. = [Окр(D166+Сум(F166:G166),0)] {" &amp; Round(D166+Sum(F166:G166),0) &amp; "}.")," ") &amp; IFERROR(If(H166=Round(I166+Sum(K166:L166),0)," "," Стр. 413, Гр. 6 [H166]  д.б. = [Окр(I166+Сум(K166:L166),0)] {" &amp; Round(I166+Sum(K166:L166),0) &amp; "}.")," ")</f>
        <v>0.0</v>
      </c>
    </row>
    <row r="167" customHeight="true" ht="30.0">
      <c r="A167" s="5" t="inlineStr">
        <is>
          <t>Аруба</t>
        </is>
      </c>
      <c r="B167" s="1" t="inlineStr">
        <is>
          <t>414</t>
        </is>
      </c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13">
        <f>IFERROR(If(C167=Round(D167+Sum(F167:G167),0)," "," Стр. 414, Гр. 1 [C167]  д.б. = [Окр(D167+Сум(F167:G167),0)] {" &amp; Round(D167+Sum(F167:G167),0) &amp; "}.")," ") &amp; IFERROR(If(H167=Round(I167+Sum(K167:L167),0)," "," Стр. 414, Гр. 6 [H167]  д.б. = [Окр(I167+Сум(K167:L167),0)] {" &amp; Round(I167+Sum(K167:L167),0) &amp; "}.")," ")</f>
        <v>0.0</v>
      </c>
    </row>
    <row r="168" customHeight="true" ht="30.0">
      <c r="A168" s="5" t="inlineStr">
        <is>
          <t>Сен-Мартен (Нидерландская часть)</t>
        </is>
      </c>
      <c r="B168" s="1" t="inlineStr">
        <is>
          <t>415</t>
        </is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13">
        <f>IFERROR(If(C168=Round(D168+Sum(F168:G168),0)," "," Стр. 415, Гр. 1 [C168]  д.б. = [Окр(D168+Сум(F168:G168),0)] {" &amp; Round(D168+Sum(F168:G168),0) &amp; "}.")," ") &amp; IFERROR(If(H168=Round(I168+Sum(K168:L168),0)," "," Стр. 415, Гр. 6 [H168]  д.б. = [Окр(I168+Сум(K168:L168),0)] {" &amp; Round(I168+Sum(K168:L168),0) &amp; "}.")," ")</f>
        <v>0.0</v>
      </c>
    </row>
    <row r="169" customHeight="true" ht="30.0">
      <c r="A169" s="5" t="inlineStr">
        <is>
          <t>Бонэйр, Синт-Эстатиус и Саба</t>
        </is>
      </c>
      <c r="B169" s="1" t="inlineStr">
        <is>
          <t>416</t>
        </is>
      </c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13">
        <f>IFERROR(If(C169=Round(D169+Sum(F169:G169),0)," "," Стр. 416, Гр. 1 [C169]  д.б. = [Окр(D169+Сум(F169:G169),0)] {" &amp; Round(D169+Sum(F169:G169),0) &amp; "}.")," ") &amp; IFERROR(If(H169=Round(I169+Sum(K169:L169),0)," "," Стр. 416, Гр. 6 [H169]  д.б. = [Окр(I169+Сум(K169:L169),0)] {" &amp; Round(I169+Sum(K169:L169),0) &amp; "}.")," ")</f>
        <v>0.0</v>
      </c>
    </row>
    <row r="170" customHeight="true" ht="30.0">
      <c r="A170" s="5" t="inlineStr">
        <is>
          <t>Новая Каледония</t>
        </is>
      </c>
      <c r="B170" s="1" t="inlineStr">
        <is>
          <t>417</t>
        </is>
      </c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13">
        <f>IFERROR(If(C170=Round(D170+Sum(F170:G170),0)," "," Стр. 417, Гр. 1 [C170]  д.б. = [Окр(D170+Сум(F170:G170),0)] {" &amp; Round(D170+Sum(F170:G170),0) &amp; "}.")," ") &amp; IFERROR(If(H170=Round(I170+Sum(K170:L170),0)," "," Стр. 417, Гр. 6 [H170]  д.б. = [Окр(I170+Сум(K170:L170),0)] {" &amp; Round(I170+Sum(K170:L170),0) &amp; "}.")," ")</f>
        <v>0.0</v>
      </c>
    </row>
    <row r="171" customHeight="true" ht="30.0">
      <c r="A171" s="5" t="inlineStr">
        <is>
          <t>Вануату</t>
        </is>
      </c>
      <c r="B171" s="1" t="inlineStr">
        <is>
          <t>418</t>
        </is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13">
        <f>IFERROR(If(C171=Round(D171+Sum(F171:G171),0)," "," Стр. 418, Гр. 1 [C171]  д.б. = [Окр(D171+Сум(F171:G171),0)] {" &amp; Round(D171+Sum(F171:G171),0) &amp; "}.")," ") &amp; IFERROR(If(H171=Round(I171+Sum(K171:L171),0)," "," Стр. 418, Гр. 6 [H171]  д.б. = [Окр(I171+Сум(K171:L171),0)] {" &amp; Round(I171+Sum(K171:L171),0) &amp; "}.")," ")</f>
        <v>0.0</v>
      </c>
    </row>
    <row r="172" customHeight="true" ht="30.0">
      <c r="A172" s="5" t="inlineStr">
        <is>
          <t>Новая Зеландия</t>
        </is>
      </c>
      <c r="B172" s="1" t="inlineStr">
        <is>
          <t>419</t>
        </is>
      </c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13">
        <f>IFERROR(If(C172=Round(D172+Sum(F172:G172),0)," "," Стр. 419, Гр. 1 [C172]  д.б. = [Окр(D172+Сум(F172:G172),0)] {" &amp; Round(D172+Sum(F172:G172),0) &amp; "}.")," ") &amp; IFERROR(If(H172=Round(I172+Sum(K172:L172),0)," "," Стр. 419, Гр. 6 [H172]  д.б. = [Окр(I172+Сум(K172:L172),0)] {" &amp; Round(I172+Sum(K172:L172),0) &amp; "}.")," ")</f>
        <v>0.0</v>
      </c>
    </row>
    <row r="173" customHeight="true" ht="30.0">
      <c r="A173" s="5" t="inlineStr">
        <is>
          <t>Никарагуа</t>
        </is>
      </c>
      <c r="B173" s="1" t="inlineStr">
        <is>
          <t>420</t>
        </is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13">
        <f>IFERROR(If(C173=Round(D173+Sum(F173:G173),0)," "," Стр. 420, Гр. 1 [C173]  д.б. = [Окр(D173+Сум(F173:G173),0)] {" &amp; Round(D173+Sum(F173:G173),0) &amp; "}.")," ") &amp; IFERROR(If(H173=Round(I173+Sum(K173:L173),0)," "," Стр. 420, Гр. 6 [H173]  д.б. = [Окр(I173+Сум(K173:L173),0)] {" &amp; Round(I173+Sum(K173:L173),0) &amp; "}.")," ")</f>
        <v>0.0</v>
      </c>
    </row>
    <row r="174" customHeight="true" ht="30.0">
      <c r="A174" s="5" t="inlineStr">
        <is>
          <t>Нигер</t>
        </is>
      </c>
      <c r="B174" s="1" t="inlineStr">
        <is>
          <t>421</t>
        </is>
      </c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13">
        <f>IFERROR(If(C174=Round(D174+Sum(F174:G174),0)," "," Стр. 421, Гр. 1 [C174]  д.б. = [Окр(D174+Сум(F174:G174),0)] {" &amp; Round(D174+Sum(F174:G174),0) &amp; "}.")," ") &amp; IFERROR(If(H174=Round(I174+Sum(K174:L174),0)," "," Стр. 421, Гр. 6 [H174]  д.б. = [Окр(I174+Сум(K174:L174),0)] {" &amp; Round(I174+Sum(K174:L174),0) &amp; "}.")," ")</f>
        <v>0.0</v>
      </c>
    </row>
    <row r="175" customHeight="true" ht="30.0">
      <c r="A175" s="5" t="inlineStr">
        <is>
          <t>Нигерия</t>
        </is>
      </c>
      <c r="B175" s="1" t="inlineStr">
        <is>
          <t>422</t>
        </is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13">
        <f>IFERROR(If(C175=Round(D175+Sum(F175:G175),0)," "," Стр. 422, Гр. 1 [C175]  д.б. = [Окр(D175+Сум(F175:G175),0)] {" &amp; Round(D175+Sum(F175:G175),0) &amp; "}.")," ") &amp; IFERROR(If(H175=Round(I175+Sum(K175:L175),0)," "," Стр. 422, Гр. 6 [H175]  д.б. = [Окр(I175+Сум(K175:L175),0)] {" &amp; Round(I175+Sum(K175:L175),0) &amp; "}.")," ")</f>
        <v>0.0</v>
      </c>
    </row>
    <row r="176" customHeight="true" ht="30.0">
      <c r="A176" s="5" t="inlineStr">
        <is>
          <t>Ниуэ</t>
        </is>
      </c>
      <c r="B176" s="1" t="inlineStr">
        <is>
          <t>423</t>
        </is>
      </c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13">
        <f>IFERROR(If(C176=Round(D176+Sum(F176:G176),0)," "," Стр. 423, Гр. 1 [C176]  д.б. = [Окр(D176+Сум(F176:G176),0)] {" &amp; Round(D176+Sum(F176:G176),0) &amp; "}.")," ") &amp; IFERROR(If(H176=Round(I176+Sum(K176:L176),0)," "," Стр. 423, Гр. 6 [H176]  д.б. = [Окр(I176+Сум(K176:L176),0)] {" &amp; Round(I176+Sum(K176:L176),0) &amp; "}.")," ")</f>
        <v>0.0</v>
      </c>
    </row>
    <row r="177" customHeight="true" ht="30.0">
      <c r="A177" s="5" t="inlineStr">
        <is>
          <t>Остров Норфолк</t>
        </is>
      </c>
      <c r="B177" s="1" t="inlineStr">
        <is>
          <t>424</t>
        </is>
      </c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13">
        <f>IFERROR(If(C177=Round(D177+Sum(F177:G177),0)," "," Стр. 424, Гр. 1 [C177]  д.б. = [Окр(D177+Сум(F177:G177),0)] {" &amp; Round(D177+Sum(F177:G177),0) &amp; "}.")," ") &amp; IFERROR(If(H177=Round(I177+Sum(K177:L177),0)," "," Стр. 424, Гр. 6 [H177]  д.б. = [Окр(I177+Сум(K177:L177),0)] {" &amp; Round(I177+Sum(K177:L177),0) &amp; "}.")," ")</f>
        <v>0.0</v>
      </c>
    </row>
    <row r="178" customHeight="true" ht="30.0">
      <c r="A178" s="5" t="inlineStr">
        <is>
          <t>Норвегия</t>
        </is>
      </c>
      <c r="B178" s="1" t="inlineStr">
        <is>
          <t>425</t>
        </is>
      </c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13">
        <f>IFERROR(If(C178=Round(D178+Sum(F178:G178),0)," "," Стр. 425, Гр. 1 [C178]  д.б. = [Окр(D178+Сум(F178:G178),0)] {" &amp; Round(D178+Sum(F178:G178),0) &amp; "}.")," ") &amp; IFERROR(If(H178=Round(I178+Sum(K178:L178),0)," "," Стр. 425, Гр. 6 [H178]  д.б. = [Окр(I178+Сум(K178:L178),0)] {" &amp; Round(I178+Sum(K178:L178),0) &amp; "}.")," ")</f>
        <v>0.0</v>
      </c>
    </row>
    <row r="179" customHeight="true" ht="30.0">
      <c r="A179" s="5" t="inlineStr">
        <is>
          <t>Северные Марианские острова</t>
        </is>
      </c>
      <c r="B179" s="1" t="inlineStr">
        <is>
          <t>426</t>
        </is>
      </c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13">
        <f>IFERROR(If(C179=Round(D179+Sum(F179:G179),0)," "," Стр. 426, Гр. 1 [C179]  д.б. = [Окр(D179+Сум(F179:G179),0)] {" &amp; Round(D179+Sum(F179:G179),0) &amp; "}.")," ") &amp; IFERROR(If(H179=Round(I179+Sum(K179:L179),0)," "," Стр. 426, Гр. 6 [H179]  д.б. = [Окр(I179+Сум(K179:L179),0)] {" &amp; Round(I179+Sum(K179:L179),0) &amp; "}.")," ")</f>
        <v>0.0</v>
      </c>
    </row>
    <row r="180" customHeight="true" ht="30.0">
      <c r="A180" s="5" t="inlineStr">
        <is>
          <t>Малые Тихоокеанские отдаленные острова Соединенных Штатов</t>
        </is>
      </c>
      <c r="B180" s="1" t="inlineStr">
        <is>
          <t>427</t>
        </is>
      </c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13">
        <f>IFERROR(If(C180=Round(D180+Sum(F180:G180),0)," "," Стр. 427, Гр. 1 [C180]  д.б. = [Окр(D180+Сум(F180:G180),0)] {" &amp; Round(D180+Sum(F180:G180),0) &amp; "}.")," ") &amp; IFERROR(If(H180=Round(I180+Sum(K180:L180),0)," "," Стр. 427, Гр. 6 [H180]  д.б. = [Окр(I180+Сум(K180:L180),0)] {" &amp; Round(I180+Sum(K180:L180),0) &amp; "}.")," ")</f>
        <v>0.0</v>
      </c>
    </row>
    <row r="181" customHeight="true" ht="30.0">
      <c r="A181" s="5" t="inlineStr">
        <is>
          <t>Микронезия, Федеративные Штаты</t>
        </is>
      </c>
      <c r="B181" s="1" t="inlineStr">
        <is>
          <t>428</t>
        </is>
      </c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13">
        <f>IFERROR(If(C181=Round(D181+Sum(F181:G181),0)," "," Стр. 428, Гр. 1 [C181]  д.б. = [Окр(D181+Сум(F181:G181),0)] {" &amp; Round(D181+Sum(F181:G181),0) &amp; "}.")," ") &amp; IFERROR(If(H181=Round(I181+Sum(K181:L181),0)," "," Стр. 428, Гр. 6 [H181]  д.б. = [Окр(I181+Сум(K181:L181),0)] {" &amp; Round(I181+Sum(K181:L181),0) &amp; "}.")," ")</f>
        <v>0.0</v>
      </c>
    </row>
    <row r="182" customHeight="true" ht="30.0">
      <c r="A182" s="5" t="inlineStr">
        <is>
          <t>Маршалловы острова</t>
        </is>
      </c>
      <c r="B182" s="1" t="inlineStr">
        <is>
          <t>429</t>
        </is>
      </c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13">
        <f>IFERROR(If(C182=Round(D182+Sum(F182:G182),0)," "," Стр. 429, Гр. 1 [C182]  д.б. = [Окр(D182+Сум(F182:G182),0)] {" &amp; Round(D182+Sum(F182:G182),0) &amp; "}.")," ") &amp; IFERROR(If(H182=Round(I182+Sum(K182:L182),0)," "," Стр. 429, Гр. 6 [H182]  д.б. = [Окр(I182+Сум(K182:L182),0)] {" &amp; Round(I182+Sum(K182:L182),0) &amp; "}.")," ")</f>
        <v>0.0</v>
      </c>
    </row>
    <row r="183" customHeight="true" ht="30.0">
      <c r="A183" s="5" t="inlineStr">
        <is>
          <t>Палау</t>
        </is>
      </c>
      <c r="B183" s="1" t="inlineStr">
        <is>
          <t>430</t>
        </is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13">
        <f>IFERROR(If(C183=Round(D183+Sum(F183:G183),0)," "," Стр. 430, Гр. 1 [C183]  д.б. = [Окр(D183+Сум(F183:G183),0)] {" &amp; Round(D183+Sum(F183:G183),0) &amp; "}.")," ") &amp; IFERROR(If(H183=Round(I183+Sum(K183:L183),0)," "," Стр. 430, Гр. 6 [H183]  д.б. = [Окр(I183+Сум(K183:L183),0)] {" &amp; Round(I183+Sum(K183:L183),0) &amp; "}.")," ")</f>
        <v>0.0</v>
      </c>
    </row>
    <row r="184" customHeight="true" ht="30.0">
      <c r="A184" s="5" t="inlineStr">
        <is>
          <t>Пакистан</t>
        </is>
      </c>
      <c r="B184" s="1" t="inlineStr">
        <is>
          <t>431</t>
        </is>
      </c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13">
        <f>IFERROR(If(C184=Round(D184+Sum(F184:G184),0)," "," Стр. 431, Гр. 1 [C184]  д.б. = [Окр(D184+Сум(F184:G184),0)] {" &amp; Round(D184+Sum(F184:G184),0) &amp; "}.")," ") &amp; IFERROR(If(H184=Round(I184+Sum(K184:L184),0)," "," Стр. 431, Гр. 6 [H184]  д.б. = [Окр(I184+Сум(K184:L184),0)] {" &amp; Round(I184+Sum(K184:L184),0) &amp; "}.")," ")</f>
        <v>0.0</v>
      </c>
    </row>
    <row r="185" customHeight="true" ht="30.0">
      <c r="A185" s="5" t="inlineStr">
        <is>
          <t>Панама</t>
        </is>
      </c>
      <c r="B185" s="1" t="inlineStr">
        <is>
          <t>432</t>
        </is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13">
        <f>IFERROR(If(C185=Round(D185+Sum(F185:G185),0)," "," Стр. 432, Гр. 1 [C185]  д.б. = [Окр(D185+Сум(F185:G185),0)] {" &amp; Round(D185+Sum(F185:G185),0) &amp; "}.")," ") &amp; IFERROR(If(H185=Round(I185+Sum(K185:L185),0)," "," Стр. 432, Гр. 6 [H185]  д.б. = [Окр(I185+Сум(K185:L185),0)] {" &amp; Round(I185+Sum(K185:L185),0) &amp; "}.")," ")</f>
        <v>0.0</v>
      </c>
    </row>
    <row r="186" customHeight="true" ht="30.0">
      <c r="A186" s="5" t="inlineStr">
        <is>
          <t>Папуа-Новая Гвинея</t>
        </is>
      </c>
      <c r="B186" s="1" t="inlineStr">
        <is>
          <t>433</t>
        </is>
      </c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13">
        <f>IFERROR(If(C186=Round(D186+Sum(F186:G186),0)," "," Стр. 433, Гр. 1 [C186]  д.б. = [Окр(D186+Сум(F186:G186),0)] {" &amp; Round(D186+Sum(F186:G186),0) &amp; "}.")," ") &amp; IFERROR(If(H186=Round(I186+Sum(K186:L186),0)," "," Стр. 433, Гр. 6 [H186]  д.б. = [Окр(I186+Сум(K186:L186),0)] {" &amp; Round(I186+Sum(K186:L186),0) &amp; "}.")," ")</f>
        <v>0.0</v>
      </c>
    </row>
    <row r="187" customHeight="true" ht="30.0">
      <c r="A187" s="5" t="inlineStr">
        <is>
          <t>Парагвай</t>
        </is>
      </c>
      <c r="B187" s="1" t="inlineStr">
        <is>
          <t>434</t>
        </is>
      </c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13">
        <f>IFERROR(If(C187=Round(D187+Sum(F187:G187),0)," "," Стр. 434, Гр. 1 [C187]  д.б. = [Окр(D187+Сум(F187:G187),0)] {" &amp; Round(D187+Sum(F187:G187),0) &amp; "}.")," ") &amp; IFERROR(If(H187=Round(I187+Sum(K187:L187),0)," "," Стр. 434, Гр. 6 [H187]  д.б. = [Окр(I187+Сум(K187:L187),0)] {" &amp; Round(I187+Sum(K187:L187),0) &amp; "}.")," ")</f>
        <v>0.0</v>
      </c>
    </row>
    <row r="188" customHeight="true" ht="30.0">
      <c r="A188" s="5" t="inlineStr">
        <is>
          <t>Перу</t>
        </is>
      </c>
      <c r="B188" s="1" t="inlineStr">
        <is>
          <t>435</t>
        </is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13">
        <f>IFERROR(If(C188=Round(D188+Sum(F188:G188),0)," "," Стр. 435, Гр. 1 [C188]  д.б. = [Окр(D188+Сум(F188:G188),0)] {" &amp; Round(D188+Sum(F188:G188),0) &amp; "}.")," ") &amp; IFERROR(If(H188=Round(I188+Sum(K188:L188),0)," "," Стр. 435, Гр. 6 [H188]  д.б. = [Окр(I188+Сум(K188:L188),0)] {" &amp; Round(I188+Sum(K188:L188),0) &amp; "}.")," ")</f>
        <v>0.0</v>
      </c>
    </row>
    <row r="189" customHeight="true" ht="30.0">
      <c r="A189" s="5" t="inlineStr">
        <is>
          <t>Филиппины</t>
        </is>
      </c>
      <c r="B189" s="1" t="inlineStr">
        <is>
          <t>436</t>
        </is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13">
        <f>IFERROR(If(C189=Round(D189+Sum(F189:G189),0)," "," Стр. 436, Гр. 1 [C189]  д.б. = [Окр(D189+Сум(F189:G189),0)] {" &amp; Round(D189+Sum(F189:G189),0) &amp; "}.")," ") &amp; IFERROR(If(H189=Round(I189+Sum(K189:L189),0)," "," Стр. 436, Гр. 6 [H189]  д.б. = [Окр(I189+Сум(K189:L189),0)] {" &amp; Round(I189+Sum(K189:L189),0) &amp; "}.")," ")</f>
        <v>0.0</v>
      </c>
    </row>
    <row r="190" customHeight="true" ht="30.0">
      <c r="A190" s="5" t="inlineStr">
        <is>
          <t>Питкерн</t>
        </is>
      </c>
      <c r="B190" s="1" t="inlineStr">
        <is>
          <t>437</t>
        </is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13">
        <f>IFERROR(If(C190=Round(D190+Sum(F190:G190),0)," "," Стр. 437, Гр. 1 [C190]  д.б. = [Окр(D190+Сум(F190:G190),0)] {" &amp; Round(D190+Sum(F190:G190),0) &amp; "}.")," ") &amp; IFERROR(If(H190=Round(I190+Sum(K190:L190),0)," "," Стр. 437, Гр. 6 [H190]  д.б. = [Окр(I190+Сум(K190:L190),0)] {" &amp; Round(I190+Sum(K190:L190),0) &amp; "}.")," ")</f>
        <v>0.0</v>
      </c>
    </row>
    <row r="191" customHeight="true" ht="30.0">
      <c r="A191" s="5" t="inlineStr">
        <is>
          <t>Польша</t>
        </is>
      </c>
      <c r="B191" s="1" t="inlineStr">
        <is>
          <t>438</t>
        </is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13">
        <f>IFERROR(If(C191=Round(D191+Sum(F191:G191),0)," "," Стр. 438, Гр. 1 [C191]  д.б. = [Окр(D191+Сум(F191:G191),0)] {" &amp; Round(D191+Sum(F191:G191),0) &amp; "}.")," ") &amp; IFERROR(If(H191=Round(I191+Sum(K191:L191),0)," "," Стр. 438, Гр. 6 [H191]  д.б. = [Окр(I191+Сум(K191:L191),0)] {" &amp; Round(I191+Sum(K191:L191),0) &amp; "}.")," ")</f>
        <v>0.0</v>
      </c>
    </row>
    <row r="192" customHeight="true" ht="30.0">
      <c r="A192" s="5" t="inlineStr">
        <is>
          <t>Португалия</t>
        </is>
      </c>
      <c r="B192" s="1" t="inlineStr">
        <is>
          <t>439</t>
        </is>
      </c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13">
        <f>IFERROR(If(C192=Round(D192+Sum(F192:G192),0)," "," Стр. 439, Гр. 1 [C192]  д.б. = [Окр(D192+Сум(F192:G192),0)] {" &amp; Round(D192+Sum(F192:G192),0) &amp; "}.")," ") &amp; IFERROR(If(H192=Round(I192+Sum(K192:L192),0)," "," Стр. 439, Гр. 6 [H192]  д.б. = [Окр(I192+Сум(K192:L192),0)] {" &amp; Round(I192+Sum(K192:L192),0) &amp; "}.")," ")</f>
        <v>0.0</v>
      </c>
    </row>
    <row r="193" customHeight="true" ht="30.0">
      <c r="A193" s="5" t="inlineStr">
        <is>
          <t>Гвинея-Бисау</t>
        </is>
      </c>
      <c r="B193" s="1" t="inlineStr">
        <is>
          <t>440</t>
        </is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13">
        <f>IFERROR(If(C193=Round(D193+Sum(F193:G193),0)," "," Стр. 440, Гр. 1 [C193]  д.б. = [Окр(D193+Сум(F193:G193),0)] {" &amp; Round(D193+Sum(F193:G193),0) &amp; "}.")," ") &amp; IFERROR(If(H193=Round(I193+Sum(K193:L193),0)," "," Стр. 440, Гр. 6 [H193]  д.б. = [Окр(I193+Сум(K193:L193),0)] {" &amp; Round(I193+Sum(K193:L193),0) &amp; "}.")," ")</f>
        <v>0.0</v>
      </c>
    </row>
    <row r="194" customHeight="true" ht="30.0">
      <c r="A194" s="5" t="inlineStr">
        <is>
          <t>Тимор-Лесте</t>
        </is>
      </c>
      <c r="B194" s="1" t="inlineStr">
        <is>
          <t>441</t>
        </is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13">
        <f>IFERROR(If(C194=Round(D194+Sum(F194:G194),0)," "," Стр. 441, Гр. 1 [C194]  д.б. = [Окр(D194+Сум(F194:G194),0)] {" &amp; Round(D194+Sum(F194:G194),0) &amp; "}.")," ") &amp; IFERROR(If(H194=Round(I194+Sum(K194:L194),0)," "," Стр. 441, Гр. 6 [H194]  д.б. = [Окр(I194+Сум(K194:L194),0)] {" &amp; Round(I194+Sum(K194:L194),0) &amp; "}.")," ")</f>
        <v>0.0</v>
      </c>
    </row>
    <row r="195" customHeight="true" ht="30.0">
      <c r="A195" s="5" t="inlineStr">
        <is>
          <t>Пуэрто-Рико</t>
        </is>
      </c>
      <c r="B195" s="1" t="inlineStr">
        <is>
          <t>442</t>
        </is>
      </c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13">
        <f>IFERROR(If(C195=Round(D195+Sum(F195:G195),0)," "," Стр. 442, Гр. 1 [C195]  д.б. = [Окр(D195+Сум(F195:G195),0)] {" &amp; Round(D195+Sum(F195:G195),0) &amp; "}.")," ") &amp; IFERROR(If(H195=Round(I195+Sum(K195:L195),0)," "," Стр. 442, Гр. 6 [H195]  д.б. = [Окр(I195+Сум(K195:L195),0)] {" &amp; Round(I195+Sum(K195:L195),0) &amp; "}.")," ")</f>
        <v>0.0</v>
      </c>
    </row>
    <row r="196" customHeight="true" ht="30.0">
      <c r="A196" s="5" t="inlineStr">
        <is>
          <t>Катар</t>
        </is>
      </c>
      <c r="B196" s="1" t="inlineStr">
        <is>
          <t>443</t>
        </is>
      </c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13">
        <f>IFERROR(If(C196=Round(D196+Sum(F196:G196),0)," "," Стр. 443, Гр. 1 [C196]  д.б. = [Окр(D196+Сум(F196:G196),0)] {" &amp; Round(D196+Sum(F196:G196),0) &amp; "}.")," ") &amp; IFERROR(If(H196=Round(I196+Sum(K196:L196),0)," "," Стр. 443, Гр. 6 [H196]  д.б. = [Окр(I196+Сум(K196:L196),0)] {" &amp; Round(I196+Sum(K196:L196),0) &amp; "}.")," ")</f>
        <v>0.0</v>
      </c>
    </row>
    <row r="197" customHeight="true" ht="30.0">
      <c r="A197" s="5" t="inlineStr">
        <is>
          <t>Реюньон</t>
        </is>
      </c>
      <c r="B197" s="1" t="inlineStr">
        <is>
          <t>444</t>
        </is>
      </c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13">
        <f>IFERROR(If(C197=Round(D197+Sum(F197:G197),0)," "," Стр. 444, Гр. 1 [C197]  д.б. = [Окр(D197+Сум(F197:G197),0)] {" &amp; Round(D197+Sum(F197:G197),0) &amp; "}.")," ") &amp; IFERROR(If(H197=Round(I197+Sum(K197:L197),0)," "," Стр. 444, Гр. 6 [H197]  д.б. = [Окр(I197+Сум(K197:L197),0)] {" &amp; Round(I197+Sum(K197:L197),0) &amp; "}.")," ")</f>
        <v>0.0</v>
      </c>
    </row>
    <row r="198" customHeight="true" ht="30.0">
      <c r="A198" s="5" t="inlineStr">
        <is>
          <t>Румыния</t>
        </is>
      </c>
      <c r="B198" s="1" t="inlineStr">
        <is>
          <t>445</t>
        </is>
      </c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13">
        <f>IFERROR(If(C198=Round(D198+Sum(F198:G198),0)," "," Стр. 445, Гр. 1 [C198]  д.б. = [Окр(D198+Сум(F198:G198),0)] {" &amp; Round(D198+Sum(F198:G198),0) &amp; "}.")," ") &amp; IFERROR(If(H198=Round(I198+Sum(K198:L198),0)," "," Стр. 445, Гр. 6 [H198]  д.б. = [Окр(I198+Сум(K198:L198),0)] {" &amp; Round(I198+Sum(K198:L198),0) &amp; "}.")," ")</f>
        <v>0.0</v>
      </c>
    </row>
    <row r="199" customHeight="true" ht="30.0">
      <c r="A199" s="5" t="inlineStr">
        <is>
          <t>Руанда</t>
        </is>
      </c>
      <c r="B199" s="1" t="inlineStr">
        <is>
          <t>446</t>
        </is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13">
        <f>IFERROR(If(C199=Round(D199+Sum(F199:G199),0)," "," Стр. 446, Гр. 1 [C199]  д.б. = [Окр(D199+Сум(F199:G199),0)] {" &amp; Round(D199+Sum(F199:G199),0) &amp; "}.")," ") &amp; IFERROR(If(H199=Round(I199+Sum(K199:L199),0)," "," Стр. 446, Гр. 6 [H199]  д.б. = [Окр(I199+Сум(K199:L199),0)] {" &amp; Round(I199+Sum(K199:L199),0) &amp; "}.")," ")</f>
        <v>0.0</v>
      </c>
    </row>
    <row r="200" customHeight="true" ht="30.0">
      <c r="A200" s="5" t="inlineStr">
        <is>
          <t>Сен-Бартелеми</t>
        </is>
      </c>
      <c r="B200" s="1" t="inlineStr">
        <is>
          <t>447</t>
        </is>
      </c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13">
        <f>IFERROR(If(C200=Round(D200+Sum(F200:G200),0)," "," Стр. 447, Гр. 1 [C200]  д.б. = [Окр(D200+Сум(F200:G200),0)] {" &amp; Round(D200+Sum(F200:G200),0) &amp; "}.")," ") &amp; IFERROR(If(H200=Round(I200+Sum(K200:L200),0)," "," Стр. 447, Гр. 6 [H200]  д.б. = [Окр(I200+Сум(K200:L200),0)] {" &amp; Round(I200+Sum(K200:L200),0) &amp; "}.")," ")</f>
        <v>0.0</v>
      </c>
    </row>
    <row r="201" customHeight="true" ht="30.0">
      <c r="A201" s="5" t="inlineStr">
        <is>
          <t>Святая Елена, Остров Вознесения, Тристан-да-Кунья</t>
        </is>
      </c>
      <c r="B201" s="1" t="inlineStr">
        <is>
          <t>448</t>
        </is>
      </c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13">
        <f>IFERROR(If(C201=Round(D201+Sum(F201:G201),0)," "," Стр. 448, Гр. 1 [C201]  д.б. = [Окр(D201+Сум(F201:G201),0)] {" &amp; Round(D201+Sum(F201:G201),0) &amp; "}.")," ") &amp; IFERROR(If(H201=Round(I201+Sum(K201:L201),0)," "," Стр. 448, Гр. 6 [H201]  д.б. = [Окр(I201+Сум(K201:L201),0)] {" &amp; Round(I201+Sum(K201:L201),0) &amp; "}.")," ")</f>
        <v>0.0</v>
      </c>
    </row>
    <row r="202" customHeight="true" ht="30.0">
      <c r="A202" s="5" t="inlineStr">
        <is>
          <t>Сент-Китс и Невис</t>
        </is>
      </c>
      <c r="B202" s="1" t="inlineStr">
        <is>
          <t>449</t>
        </is>
      </c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13">
        <f>IFERROR(If(C202=Round(D202+Sum(F202:G202),0)," "," Стр. 449, Гр. 1 [C202]  д.б. = [Окр(D202+Сум(F202:G202),0)] {" &amp; Round(D202+Sum(F202:G202),0) &amp; "}.")," ") &amp; IFERROR(If(H202=Round(I202+Sum(K202:L202),0)," "," Стр. 449, Гр. 6 [H202]  д.б. = [Окр(I202+Сум(K202:L202),0)] {" &amp; Round(I202+Sum(K202:L202),0) &amp; "}.")," ")</f>
        <v>0.0</v>
      </c>
    </row>
    <row r="203" customHeight="true" ht="30.0">
      <c r="A203" s="5" t="inlineStr">
        <is>
          <t>Ангилья</t>
        </is>
      </c>
      <c r="B203" s="1" t="inlineStr">
        <is>
          <t>450</t>
        </is>
      </c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13">
        <f>IFERROR(If(C203=Round(D203+Sum(F203:G203),0)," "," Стр. 450, Гр. 1 [C203]  д.б. = [Окр(D203+Сум(F203:G203),0)] {" &amp; Round(D203+Sum(F203:G203),0) &amp; "}.")," ") &amp; IFERROR(If(H203=Round(I203+Sum(K203:L203),0)," "," Стр. 450, Гр. 6 [H203]  д.б. = [Окр(I203+Сум(K203:L203),0)] {" &amp; Round(I203+Sum(K203:L203),0) &amp; "}.")," ")</f>
        <v>0.0</v>
      </c>
    </row>
    <row r="204" customHeight="true" ht="30.0">
      <c r="A204" s="5" t="inlineStr">
        <is>
          <t>Сент-Люсия</t>
        </is>
      </c>
      <c r="B204" s="1" t="inlineStr">
        <is>
          <t>451</t>
        </is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13">
        <f>IFERROR(If(C204=Round(D204+Sum(F204:G204),0)," "," Стр. 451, Гр. 1 [C204]  д.б. = [Окр(D204+Сум(F204:G204),0)] {" &amp; Round(D204+Sum(F204:G204),0) &amp; "}.")," ") &amp; IFERROR(If(H204=Round(I204+Sum(K204:L204),0)," "," Стр. 451, Гр. 6 [H204]  д.б. = [Окр(I204+Сум(K204:L204),0)] {" &amp; Round(I204+Sum(K204:L204),0) &amp; "}.")," ")</f>
        <v>0.0</v>
      </c>
    </row>
    <row r="205" customHeight="true" ht="30.0">
      <c r="A205" s="5" t="inlineStr">
        <is>
          <t>Сен-Мартен (Французская часть)</t>
        </is>
      </c>
      <c r="B205" s="1" t="inlineStr">
        <is>
          <t>452</t>
        </is>
      </c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13">
        <f>IFERROR(If(C205=Round(D205+Sum(F205:G205),0)," "," Стр. 452, Гр. 1 [C205]  д.б. = [Окр(D205+Сум(F205:G205),0)] {" &amp; Round(D205+Sum(F205:G205),0) &amp; "}.")," ") &amp; IFERROR(If(H205=Round(I205+Sum(K205:L205),0)," "," Стр. 452, Гр. 6 [H205]  д.б. = [Окр(I205+Сум(K205:L205),0)] {" &amp; Round(I205+Sum(K205:L205),0) &amp; "}.")," ")</f>
        <v>0.0</v>
      </c>
    </row>
    <row r="206" customHeight="true" ht="30.0">
      <c r="A206" s="5" t="inlineStr">
        <is>
          <t>Сен-Пьер и Микелон</t>
        </is>
      </c>
      <c r="B206" s="1" t="inlineStr">
        <is>
          <t>453</t>
        </is>
      </c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13">
        <f>IFERROR(If(C206=Round(D206+Sum(F206:G206),0)," "," Стр. 453, Гр. 1 [C206]  д.б. = [Окр(D206+Сум(F206:G206),0)] {" &amp; Round(D206+Sum(F206:G206),0) &amp; "}.")," ") &amp; IFERROR(If(H206=Round(I206+Sum(K206:L206),0)," "," Стр. 453, Гр. 6 [H206]  д.б. = [Окр(I206+Сум(K206:L206),0)] {" &amp; Round(I206+Sum(K206:L206),0) &amp; "}.")," ")</f>
        <v>0.0</v>
      </c>
    </row>
    <row r="207" customHeight="true" ht="30.0">
      <c r="A207" s="5" t="inlineStr">
        <is>
          <t>Сент-Винсент и Гренадины</t>
        </is>
      </c>
      <c r="B207" s="1" t="inlineStr">
        <is>
          <t>454</t>
        </is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13">
        <f>IFERROR(If(C207=Round(D207+Sum(F207:G207),0)," "," Стр. 454, Гр. 1 [C207]  д.б. = [Окр(D207+Сум(F207:G207),0)] {" &amp; Round(D207+Sum(F207:G207),0) &amp; "}.")," ") &amp; IFERROR(If(H207=Round(I207+Sum(K207:L207),0)," "," Стр. 454, Гр. 6 [H207]  д.б. = [Окр(I207+Сум(K207:L207),0)] {" &amp; Round(I207+Sum(K207:L207),0) &amp; "}.")," ")</f>
        <v>0.0</v>
      </c>
    </row>
    <row r="208" customHeight="true" ht="30.0">
      <c r="A208" s="5" t="inlineStr">
        <is>
          <t>Сан-Марино</t>
        </is>
      </c>
      <c r="B208" s="1" t="inlineStr">
        <is>
          <t>455</t>
        </is>
      </c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13">
        <f>IFERROR(If(C208=Round(D208+Sum(F208:G208),0)," "," Стр. 455, Гр. 1 [C208]  д.б. = [Окр(D208+Сум(F208:G208),0)] {" &amp; Round(D208+Sum(F208:G208),0) &amp; "}.")," ") &amp; IFERROR(If(H208=Round(I208+Sum(K208:L208),0)," "," Стр. 455, Гр. 6 [H208]  д.б. = [Окр(I208+Сум(K208:L208),0)] {" &amp; Round(I208+Sum(K208:L208),0) &amp; "}.")," ")</f>
        <v>0.0</v>
      </c>
    </row>
    <row r="209" customHeight="true" ht="30.0">
      <c r="A209" s="5" t="inlineStr">
        <is>
          <t>Сан-Томе и Принсипи</t>
        </is>
      </c>
      <c r="B209" s="1" t="inlineStr">
        <is>
          <t>456</t>
        </is>
      </c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13">
        <f>IFERROR(If(C209=Round(D209+Sum(F209:G209),0)," "," Стр. 456, Гр. 1 [C209]  д.б. = [Окр(D209+Сум(F209:G209),0)] {" &amp; Round(D209+Sum(F209:G209),0) &amp; "}.")," ") &amp; IFERROR(If(H209=Round(I209+Sum(K209:L209),0)," "," Стр. 456, Гр. 6 [H209]  д.б. = [Окр(I209+Сум(K209:L209),0)] {" &amp; Round(I209+Sum(K209:L209),0) &amp; "}.")," ")</f>
        <v>0.0</v>
      </c>
    </row>
    <row r="210" customHeight="true" ht="30.0">
      <c r="A210" s="5" t="inlineStr">
        <is>
          <t>Саудовская Аравия</t>
        </is>
      </c>
      <c r="B210" s="1" t="inlineStr">
        <is>
          <t>457</t>
        </is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13">
        <f>IFERROR(If(C210=Round(D210+Sum(F210:G210),0)," "," Стр. 457, Гр. 1 [C210]  д.б. = [Окр(D210+Сум(F210:G210),0)] {" &amp; Round(D210+Sum(F210:G210),0) &amp; "}.")," ") &amp; IFERROR(If(H210=Round(I210+Sum(K210:L210),0)," "," Стр. 457, Гр. 6 [H210]  д.б. = [Окр(I210+Сум(K210:L210),0)] {" &amp; Round(I210+Sum(K210:L210),0) &amp; "}.")," ")</f>
        <v>0.0</v>
      </c>
    </row>
    <row r="211" customHeight="true" ht="30.0">
      <c r="A211" s="5" t="inlineStr">
        <is>
          <t>Сенегал</t>
        </is>
      </c>
      <c r="B211" s="1" t="inlineStr">
        <is>
          <t>458</t>
        </is>
      </c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13">
        <f>IFERROR(If(C211=Round(D211+Sum(F211:G211),0)," "," Стр. 458, Гр. 1 [C211]  д.б. = [Окр(D211+Сум(F211:G211),0)] {" &amp; Round(D211+Sum(F211:G211),0) &amp; "}.")," ") &amp; IFERROR(If(H211=Round(I211+Sum(K211:L211),0)," "," Стр. 458, Гр. 6 [H211]  д.б. = [Окр(I211+Сум(K211:L211),0)] {" &amp; Round(I211+Sum(K211:L211),0) &amp; "}.")," ")</f>
        <v>0.0</v>
      </c>
    </row>
    <row r="212" customHeight="true" ht="30.0">
      <c r="A212" s="5" t="inlineStr">
        <is>
          <t>Сербия</t>
        </is>
      </c>
      <c r="B212" s="1" t="inlineStr">
        <is>
          <t>459</t>
        </is>
      </c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13">
        <f>IFERROR(If(C212=Round(D212+Sum(F212:G212),0)," "," Стр. 459, Гр. 1 [C212]  д.б. = [Окр(D212+Сум(F212:G212),0)] {" &amp; Round(D212+Sum(F212:G212),0) &amp; "}.")," ") &amp; IFERROR(If(H212=Round(I212+Sum(K212:L212),0)," "," Стр. 459, Гр. 6 [H212]  д.б. = [Окр(I212+Сум(K212:L212),0)] {" &amp; Round(I212+Sum(K212:L212),0) &amp; "}.")," ")</f>
        <v>0.0</v>
      </c>
    </row>
    <row r="213" customHeight="true" ht="30.0">
      <c r="A213" s="5" t="inlineStr">
        <is>
          <t>Сейшелы</t>
        </is>
      </c>
      <c r="B213" s="1" t="inlineStr">
        <is>
          <t>460</t>
        </is>
      </c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13">
        <f>IFERROR(If(C213=Round(D213+Sum(F213:G213),0)," "," Стр. 460, Гр. 1 [C213]  д.б. = [Окр(D213+Сум(F213:G213),0)] {" &amp; Round(D213+Sum(F213:G213),0) &amp; "}.")," ") &amp; IFERROR(If(H213=Round(I213+Sum(K213:L213),0)," "," Стр. 460, Гр. 6 [H213]  д.б. = [Окр(I213+Сум(K213:L213),0)] {" &amp; Round(I213+Sum(K213:L213),0) &amp; "}.")," ")</f>
        <v>0.0</v>
      </c>
    </row>
    <row r="214" customHeight="true" ht="30.0">
      <c r="A214" s="5" t="inlineStr">
        <is>
          <t>Сьерра-Леоне</t>
        </is>
      </c>
      <c r="B214" s="1" t="inlineStr">
        <is>
          <t>461</t>
        </is>
      </c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13">
        <f>IFERROR(If(C214=Round(D214+Sum(F214:G214),0)," "," Стр. 461, Гр. 1 [C214]  д.б. = [Окр(D214+Сум(F214:G214),0)] {" &amp; Round(D214+Sum(F214:G214),0) &amp; "}.")," ") &amp; IFERROR(If(H214=Round(I214+Sum(K214:L214),0)," "," Стр. 461, Гр. 6 [H214]  д.б. = [Окр(I214+Сум(K214:L214),0)] {" &amp; Round(I214+Sum(K214:L214),0) &amp; "}.")," ")</f>
        <v>0.0</v>
      </c>
    </row>
    <row r="215" customHeight="true" ht="30.0">
      <c r="A215" s="5" t="inlineStr">
        <is>
          <t>Сингапур</t>
        </is>
      </c>
      <c r="B215" s="1" t="inlineStr">
        <is>
          <t>462</t>
        </is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13">
        <f>IFERROR(If(C215=Round(D215+Sum(F215:G215),0)," "," Стр. 462, Гр. 1 [C215]  д.б. = [Окр(D215+Сум(F215:G215),0)] {" &amp; Round(D215+Sum(F215:G215),0) &amp; "}.")," ") &amp; IFERROR(If(H215=Round(I215+Sum(K215:L215),0)," "," Стр. 462, Гр. 6 [H215]  д.б. = [Окр(I215+Сум(K215:L215),0)] {" &amp; Round(I215+Sum(K215:L215),0) &amp; "}.")," ")</f>
        <v>0.0</v>
      </c>
    </row>
    <row r="216" customHeight="true" ht="30.0">
      <c r="A216" s="5" t="inlineStr">
        <is>
          <t>Словакия</t>
        </is>
      </c>
      <c r="B216" s="1" t="inlineStr">
        <is>
          <t>463</t>
        </is>
      </c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13">
        <f>IFERROR(If(C216=Round(D216+Sum(F216:G216),0)," "," Стр. 463, Гр. 1 [C216]  д.б. = [Окр(D216+Сум(F216:G216),0)] {" &amp; Round(D216+Sum(F216:G216),0) &amp; "}.")," ") &amp; IFERROR(If(H216=Round(I216+Sum(K216:L216),0)," "," Стр. 463, Гр. 6 [H216]  д.б. = [Окр(I216+Сум(K216:L216),0)] {" &amp; Round(I216+Sum(K216:L216),0) &amp; "}.")," ")</f>
        <v>0.0</v>
      </c>
    </row>
    <row r="217" customHeight="true" ht="30.0">
      <c r="A217" s="5" t="inlineStr">
        <is>
          <t>Вьетнам</t>
        </is>
      </c>
      <c r="B217" s="1" t="inlineStr">
        <is>
          <t>464</t>
        </is>
      </c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13">
        <f>IFERROR(If(C217=Round(D217+Sum(F217:G217),0)," "," Стр. 464, Гр. 1 [C217]  д.б. = [Окр(D217+Сум(F217:G217),0)] {" &amp; Round(D217+Sum(F217:G217),0) &amp; "}.")," ") &amp; IFERROR(If(H217=Round(I217+Sum(K217:L217),0)," "," Стр. 464, Гр. 6 [H217]  д.б. = [Окр(I217+Сум(K217:L217),0)] {" &amp; Round(I217+Sum(K217:L217),0) &amp; "}.")," ")</f>
        <v>0.0</v>
      </c>
    </row>
    <row r="218" customHeight="true" ht="30.0">
      <c r="A218" s="5" t="inlineStr">
        <is>
          <t>Словения</t>
        </is>
      </c>
      <c r="B218" s="1" t="inlineStr">
        <is>
          <t>465</t>
        </is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13">
        <f>IFERROR(If(C218=Round(D218+Sum(F218:G218),0)," "," Стр. 465, Гр. 1 [C218]  д.б. = [Окр(D218+Сум(F218:G218),0)] {" &amp; Round(D218+Sum(F218:G218),0) &amp; "}.")," ") &amp; IFERROR(If(H218=Round(I218+Sum(K218:L218),0)," "," Стр. 465, Гр. 6 [H218]  д.б. = [Окр(I218+Сум(K218:L218),0)] {" &amp; Round(I218+Sum(K218:L218),0) &amp; "}.")," ")</f>
        <v>0.0</v>
      </c>
    </row>
    <row r="219" customHeight="true" ht="30.0">
      <c r="A219" s="5" t="inlineStr">
        <is>
          <t>Сомали</t>
        </is>
      </c>
      <c r="B219" s="1" t="inlineStr">
        <is>
          <t>466</t>
        </is>
      </c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13">
        <f>IFERROR(If(C219=Round(D219+Sum(F219:G219),0)," "," Стр. 466, Гр. 1 [C219]  д.б. = [Окр(D219+Сум(F219:G219),0)] {" &amp; Round(D219+Sum(F219:G219),0) &amp; "}.")," ") &amp; IFERROR(If(H219=Round(I219+Sum(K219:L219),0)," "," Стр. 466, Гр. 6 [H219]  д.б. = [Окр(I219+Сум(K219:L219),0)] {" &amp; Round(I219+Sum(K219:L219),0) &amp; "}.")," ")</f>
        <v>0.0</v>
      </c>
    </row>
    <row r="220" customHeight="true" ht="30.0">
      <c r="A220" s="5" t="inlineStr">
        <is>
          <t>Южная Африка</t>
        </is>
      </c>
      <c r="B220" s="1" t="inlineStr">
        <is>
          <t>467</t>
        </is>
      </c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13">
        <f>IFERROR(If(C220=Round(D220+Sum(F220:G220),0)," "," Стр. 467, Гр. 1 [C220]  д.б. = [Окр(D220+Сум(F220:G220),0)] {" &amp; Round(D220+Sum(F220:G220),0) &amp; "}.")," ") &amp; IFERROR(If(H220=Round(I220+Sum(K220:L220),0)," "," Стр. 467, Гр. 6 [H220]  д.б. = [Окр(I220+Сум(K220:L220),0)] {" &amp; Round(I220+Sum(K220:L220),0) &amp; "}.")," ")</f>
        <v>0.0</v>
      </c>
    </row>
    <row r="221" customHeight="true" ht="30.0">
      <c r="A221" s="5" t="inlineStr">
        <is>
          <t>Зимбабве</t>
        </is>
      </c>
      <c r="B221" s="1" t="inlineStr">
        <is>
          <t>468</t>
        </is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13">
        <f>IFERROR(If(C221=Round(D221+Sum(F221:G221),0)," "," Стр. 468, Гр. 1 [C221]  д.б. = [Окр(D221+Сум(F221:G221),0)] {" &amp; Round(D221+Sum(F221:G221),0) &amp; "}.")," ") &amp; IFERROR(If(H221=Round(I221+Sum(K221:L221),0)," "," Стр. 468, Гр. 6 [H221]  д.б. = [Окр(I221+Сум(K221:L221),0)] {" &amp; Round(I221+Sum(K221:L221),0) &amp; "}.")," ")</f>
        <v>0.0</v>
      </c>
    </row>
    <row r="222" customHeight="true" ht="30.0">
      <c r="A222" s="5" t="inlineStr">
        <is>
          <t>Испания</t>
        </is>
      </c>
      <c r="B222" s="1" t="inlineStr">
        <is>
          <t>469</t>
        </is>
      </c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13">
        <f>IFERROR(If(C222=Round(D222+Sum(F222:G222),0)," "," Стр. 469, Гр. 1 [C222]  д.б. = [Окр(D222+Сум(F222:G222),0)] {" &amp; Round(D222+Sum(F222:G222),0) &amp; "}.")," ") &amp; IFERROR(If(H222=Round(I222+Sum(K222:L222),0)," "," Стр. 469, Гр. 6 [H222]  д.б. = [Окр(I222+Сум(K222:L222),0)] {" &amp; Round(I222+Sum(K222:L222),0) &amp; "}.")," ")</f>
        <v>0.0</v>
      </c>
    </row>
    <row r="223" customHeight="true" ht="30.0">
      <c r="A223" s="5" t="inlineStr">
        <is>
          <t>Западная Сахара</t>
        </is>
      </c>
      <c r="B223" s="1" t="inlineStr">
        <is>
          <t>470</t>
        </is>
      </c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13">
        <f>IFERROR(If(C223=Round(D223+Sum(F223:G223),0)," "," Стр. 470, Гр. 1 [C223]  д.б. = [Окр(D223+Сум(F223:G223),0)] {" &amp; Round(D223+Sum(F223:G223),0) &amp; "}.")," ") &amp; IFERROR(If(H223=Round(I223+Sum(K223:L223),0)," "," Стр. 470, Гр. 6 [H223]  д.б. = [Окр(I223+Сум(K223:L223),0)] {" &amp; Round(I223+Sum(K223:L223),0) &amp; "}.")," ")</f>
        <v>0.0</v>
      </c>
    </row>
    <row r="224" customHeight="true" ht="30.0">
      <c r="A224" s="5" t="inlineStr">
        <is>
          <t>Судан</t>
        </is>
      </c>
      <c r="B224" s="1" t="inlineStr">
        <is>
          <t>471</t>
        </is>
      </c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13">
        <f>IFERROR(If(C224=Round(D224+Sum(F224:G224),0)," "," Стр. 471, Гр. 1 [C224]  д.б. = [Окр(D224+Сум(F224:G224),0)] {" &amp; Round(D224+Sum(F224:G224),0) &amp; "}.")," ") &amp; IFERROR(If(H224=Round(I224+Sum(K224:L224),0)," "," Стр. 471, Гр. 6 [H224]  д.б. = [Окр(I224+Сум(K224:L224),0)] {" &amp; Round(I224+Sum(K224:L224),0) &amp; "}.")," ")</f>
        <v>0.0</v>
      </c>
    </row>
    <row r="225" customHeight="true" ht="30.0">
      <c r="A225" s="5" t="inlineStr">
        <is>
          <t>Суринам</t>
        </is>
      </c>
      <c r="B225" s="1" t="inlineStr">
        <is>
          <t>472</t>
        </is>
      </c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13">
        <f>IFERROR(If(C225=Round(D225+Sum(F225:G225),0)," "," Стр. 472, Гр. 1 [C225]  д.б. = [Окр(D225+Сум(F225:G225),0)] {" &amp; Round(D225+Sum(F225:G225),0) &amp; "}.")," ") &amp; IFERROR(If(H225=Round(I225+Sum(K225:L225),0)," "," Стр. 472, Гр. 6 [H225]  д.б. = [Окр(I225+Сум(K225:L225),0)] {" &amp; Round(I225+Sum(K225:L225),0) &amp; "}.")," ")</f>
        <v>0.0</v>
      </c>
    </row>
    <row r="226" customHeight="true" ht="30.0">
      <c r="A226" s="5" t="inlineStr">
        <is>
          <t>Шпицберген и Ян Майен</t>
        </is>
      </c>
      <c r="B226" s="1" t="inlineStr">
        <is>
          <t>473</t>
        </is>
      </c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13">
        <f>IFERROR(If(C226=Round(D226+Sum(F226:G226),0)," "," Стр. 473, Гр. 1 [C226]  д.б. = [Окр(D226+Сум(F226:G226),0)] {" &amp; Round(D226+Sum(F226:G226),0) &amp; "}.")," ") &amp; IFERROR(If(H226=Round(I226+Sum(K226:L226),0)," "," Стр. 473, Гр. 6 [H226]  д.б. = [Окр(I226+Сум(K226:L226),0)] {" &amp; Round(I226+Sum(K226:L226),0) &amp; "}.")," ")</f>
        <v>0.0</v>
      </c>
    </row>
    <row r="227" customHeight="true" ht="30.0">
      <c r="A227" s="5" t="inlineStr">
        <is>
          <t>Эсватини</t>
        </is>
      </c>
      <c r="B227" s="1" t="inlineStr">
        <is>
          <t>474</t>
        </is>
      </c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13">
        <f>IFERROR(If(C227=Round(D227+Sum(F227:G227),0)," "," Стр. 474, Гр. 1 [C227]  д.б. = [Окр(D227+Сум(F227:G227),0)] {" &amp; Round(D227+Sum(F227:G227),0) &amp; "}.")," ") &amp; IFERROR(If(H227=Round(I227+Sum(K227:L227),0)," "," Стр. 474, Гр. 6 [H227]  д.б. = [Окр(I227+Сум(K227:L227),0)] {" &amp; Round(I227+Sum(K227:L227),0) &amp; "}.")," ")</f>
        <v>0.0</v>
      </c>
    </row>
    <row r="228" customHeight="true" ht="30.0">
      <c r="A228" s="5" t="inlineStr">
        <is>
          <t>Швеция</t>
        </is>
      </c>
      <c r="B228" s="1" t="inlineStr">
        <is>
          <t>475</t>
        </is>
      </c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13">
        <f>IFERROR(If(C228=Round(D228+Sum(F228:G228),0)," "," Стр. 475, Гр. 1 [C228]  д.б. = [Окр(D228+Сум(F228:G228),0)] {" &amp; Round(D228+Sum(F228:G228),0) &amp; "}.")," ") &amp; IFERROR(If(H228=Round(I228+Sum(K228:L228),0)," "," Стр. 475, Гр. 6 [H228]  д.б. = [Окр(I228+Сум(K228:L228),0)] {" &amp; Round(I228+Sum(K228:L228),0) &amp; "}.")," ")</f>
        <v>0.0</v>
      </c>
    </row>
    <row r="229" customHeight="true" ht="30.0">
      <c r="A229" s="5" t="inlineStr">
        <is>
          <t>Швейцария</t>
        </is>
      </c>
      <c r="B229" s="1" t="inlineStr">
        <is>
          <t>476</t>
        </is>
      </c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13">
        <f>IFERROR(If(C229=Round(D229+Sum(F229:G229),0)," "," Стр. 476, Гр. 1 [C229]  д.б. = [Окр(D229+Сум(F229:G229),0)] {" &amp; Round(D229+Sum(F229:G229),0) &amp; "}.")," ") &amp; IFERROR(If(H229=Round(I229+Sum(K229:L229),0)," "," Стр. 476, Гр. 6 [H229]  д.б. = [Окр(I229+Сум(K229:L229),0)] {" &amp; Round(I229+Sum(K229:L229),0) &amp; "}.")," ")</f>
        <v>0.0</v>
      </c>
    </row>
    <row r="230" customHeight="true" ht="30.0">
      <c r="A230" s="5" t="inlineStr">
        <is>
          <t>Сирийская Арабская Республика</t>
        </is>
      </c>
      <c r="B230" s="1" t="inlineStr">
        <is>
          <t>477</t>
        </is>
      </c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13">
        <f>IFERROR(If(C230=Round(D230+Sum(F230:G230),0)," "," Стр. 477, Гр. 1 [C230]  д.б. = [Окр(D230+Сум(F230:G230),0)] {" &amp; Round(D230+Sum(F230:G230),0) &amp; "}.")," ") &amp; IFERROR(If(H230=Round(I230+Sum(K230:L230),0)," "," Стр. 477, Гр. 6 [H230]  д.б. = [Окр(I230+Сум(K230:L230),0)] {" &amp; Round(I230+Sum(K230:L230),0) &amp; "}.")," ")</f>
        <v>0.0</v>
      </c>
    </row>
    <row r="231" customHeight="true" ht="30.0">
      <c r="A231" s="5" t="inlineStr">
        <is>
          <t>Таиланд</t>
        </is>
      </c>
      <c r="B231" s="1" t="inlineStr">
        <is>
          <t>478</t>
        </is>
      </c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13">
        <f>IFERROR(If(C231=Round(D231+Sum(F231:G231),0)," "," Стр. 478, Гр. 1 [C231]  д.б. = [Окр(D231+Сум(F231:G231),0)] {" &amp; Round(D231+Sum(F231:G231),0) &amp; "}.")," ") &amp; IFERROR(If(H231=Round(I231+Sum(K231:L231),0)," "," Стр. 478, Гр. 6 [H231]  д.б. = [Окр(I231+Сум(K231:L231),0)] {" &amp; Round(I231+Sum(K231:L231),0) &amp; "}.")," ")</f>
        <v>0.0</v>
      </c>
    </row>
    <row r="232" customHeight="true" ht="30.0">
      <c r="A232" s="5" t="inlineStr">
        <is>
          <t>Того</t>
        </is>
      </c>
      <c r="B232" s="1" t="inlineStr">
        <is>
          <t>479</t>
        </is>
      </c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13">
        <f>IFERROR(If(C232=Round(D232+Sum(F232:G232),0)," "," Стр. 479, Гр. 1 [C232]  д.б. = [Окр(D232+Сум(F232:G232),0)] {" &amp; Round(D232+Sum(F232:G232),0) &amp; "}.")," ") &amp; IFERROR(If(H232=Round(I232+Sum(K232:L232),0)," "," Стр. 479, Гр. 6 [H232]  д.б. = [Окр(I232+Сум(K232:L232),0)] {" &amp; Round(I232+Sum(K232:L232),0) &amp; "}.")," ")</f>
        <v>0.0</v>
      </c>
    </row>
    <row r="233" customHeight="true" ht="30.0">
      <c r="A233" s="5" t="inlineStr">
        <is>
          <t>Токелау</t>
        </is>
      </c>
      <c r="B233" s="1" t="inlineStr">
        <is>
          <t>480</t>
        </is>
      </c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13">
        <f>IFERROR(If(C233=Round(D233+Sum(F233:G233),0)," "," Стр. 480, Гр. 1 [C233]  д.б. = [Окр(D233+Сум(F233:G233),0)] {" &amp; Round(D233+Sum(F233:G233),0) &amp; "}.")," ") &amp; IFERROR(If(H233=Round(I233+Sum(K233:L233),0)," "," Стр. 480, Гр. 6 [H233]  д.б. = [Окр(I233+Сум(K233:L233),0)] {" &amp; Round(I233+Sum(K233:L233),0) &amp; "}.")," ")</f>
        <v>0.0</v>
      </c>
    </row>
    <row r="234" customHeight="true" ht="30.0">
      <c r="A234" s="5" t="inlineStr">
        <is>
          <t>Тонга</t>
        </is>
      </c>
      <c r="B234" s="1" t="inlineStr">
        <is>
          <t>481</t>
        </is>
      </c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13">
        <f>IFERROR(If(C234=Round(D234+Sum(F234:G234),0)," "," Стр. 481, Гр. 1 [C234]  д.б. = [Окр(D234+Сум(F234:G234),0)] {" &amp; Round(D234+Sum(F234:G234),0) &amp; "}.")," ") &amp; IFERROR(If(H234=Round(I234+Sum(K234:L234),0)," "," Стр. 481, Гр. 6 [H234]  д.б. = [Окр(I234+Сум(K234:L234),0)] {" &amp; Round(I234+Sum(K234:L234),0) &amp; "}.")," ")</f>
        <v>0.0</v>
      </c>
    </row>
    <row r="235" customHeight="true" ht="30.0">
      <c r="A235" s="5" t="inlineStr">
        <is>
          <t>Тринидад и Тобаго</t>
        </is>
      </c>
      <c r="B235" s="1" t="inlineStr">
        <is>
          <t>482</t>
        </is>
      </c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13">
        <f>IFERROR(If(C235=Round(D235+Sum(F235:G235),0)," "," Стр. 482, Гр. 1 [C235]  д.б. = [Окр(D235+Сум(F235:G235),0)] {" &amp; Round(D235+Sum(F235:G235),0) &amp; "}.")," ") &amp; IFERROR(If(H235=Round(I235+Sum(K235:L235),0)," "," Стр. 482, Гр. 6 [H235]  д.б. = [Окр(I235+Сум(K235:L235),0)] {" &amp; Round(I235+Sum(K235:L235),0) &amp; "}.")," ")</f>
        <v>0.0</v>
      </c>
    </row>
    <row r="236" customHeight="true" ht="30.0">
      <c r="A236" s="5" t="inlineStr">
        <is>
          <t>Объединенные Арабские Эмираты</t>
        </is>
      </c>
      <c r="B236" s="1" t="inlineStr">
        <is>
          <t>483</t>
        </is>
      </c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13">
        <f>IFERROR(If(C236=Round(D236+Sum(F236:G236),0)," "," Стр. 483, Гр. 1 [C236]  д.б. = [Окр(D236+Сум(F236:G236),0)] {" &amp; Round(D236+Sum(F236:G236),0) &amp; "}.")," ") &amp; IFERROR(If(H236=Round(I236+Sum(K236:L236),0)," "," Стр. 483, Гр. 6 [H236]  д.б. = [Окр(I236+Сум(K236:L236),0)] {" &amp; Round(I236+Sum(K236:L236),0) &amp; "}.")," ")</f>
        <v>0.0</v>
      </c>
    </row>
    <row r="237" customHeight="true" ht="30.0">
      <c r="A237" s="5" t="inlineStr">
        <is>
          <t>Тунис</t>
        </is>
      </c>
      <c r="B237" s="1" t="inlineStr">
        <is>
          <t>484</t>
        </is>
      </c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13">
        <f>IFERROR(If(C237=Round(D237+Sum(F237:G237),0)," "," Стр. 484, Гр. 1 [C237]  д.б. = [Окр(D237+Сум(F237:G237),0)] {" &amp; Round(D237+Sum(F237:G237),0) &amp; "}.")," ") &amp; IFERROR(If(H237=Round(I237+Sum(K237:L237),0)," "," Стр. 484, Гр. 6 [H237]  д.б. = [Окр(I237+Сум(K237:L237),0)] {" &amp; Round(I237+Sum(K237:L237),0) &amp; "}.")," ")</f>
        <v>0.0</v>
      </c>
    </row>
    <row r="238" customHeight="true" ht="30.0">
      <c r="A238" s="5" t="inlineStr">
        <is>
          <t>Турция</t>
        </is>
      </c>
      <c r="B238" s="1" t="inlineStr">
        <is>
          <t>485</t>
        </is>
      </c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13">
        <f>IFERROR(If(C238=Round(D238+Sum(F238:G238),0)," "," Стр. 485, Гр. 1 [C238]  д.б. = [Окр(D238+Сум(F238:G238),0)] {" &amp; Round(D238+Sum(F238:G238),0) &amp; "}.")," ") &amp; IFERROR(If(H238=Round(I238+Sum(K238:L238),0)," "," Стр. 485, Гр. 6 [H238]  д.б. = [Окр(I238+Сум(K238:L238),0)] {" &amp; Round(I238+Sum(K238:L238),0) &amp; "}.")," ")</f>
        <v>0.0</v>
      </c>
    </row>
    <row r="239" customHeight="true" ht="30.0">
      <c r="A239" s="5" t="inlineStr">
        <is>
          <t>Острова Теркс и Кайкос</t>
        </is>
      </c>
      <c r="B239" s="1" t="inlineStr">
        <is>
          <t>486</t>
        </is>
      </c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13">
        <f>IFERROR(If(C239=Round(D239+Sum(F239:G239),0)," "," Стр. 486, Гр. 1 [C239]  д.б. = [Окр(D239+Сум(F239:G239),0)] {" &amp; Round(D239+Sum(F239:G239),0) &amp; "}.")," ") &amp; IFERROR(If(H239=Round(I239+Sum(K239:L239),0)," "," Стр. 486, Гр. 6 [H239]  д.б. = [Окр(I239+Сум(K239:L239),0)] {" &amp; Round(I239+Sum(K239:L239),0) &amp; "}.")," ")</f>
        <v>0.0</v>
      </c>
    </row>
    <row r="240" customHeight="true" ht="30.0">
      <c r="A240" s="5" t="inlineStr">
        <is>
          <t>Тувалу</t>
        </is>
      </c>
      <c r="B240" s="1" t="inlineStr">
        <is>
          <t>487</t>
        </is>
      </c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13">
        <f>IFERROR(If(C240=Round(D240+Sum(F240:G240),0)," "," Стр. 487, Гр. 1 [C240]  д.б. = [Окр(D240+Сум(F240:G240),0)] {" &amp; Round(D240+Sum(F240:G240),0) &amp; "}.")," ") &amp; IFERROR(If(H240=Round(I240+Sum(K240:L240),0)," "," Стр. 487, Гр. 6 [H240]  д.б. = [Окр(I240+Сум(K240:L240),0)] {" &amp; Round(I240+Sum(K240:L240),0) &amp; "}.")," ")</f>
        <v>0.0</v>
      </c>
    </row>
    <row r="241" customHeight="true" ht="30.0">
      <c r="A241" s="5" t="inlineStr">
        <is>
          <t>Уганда</t>
        </is>
      </c>
      <c r="B241" s="1" t="inlineStr">
        <is>
          <t>488</t>
        </is>
      </c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13">
        <f>IFERROR(If(C241=Round(D241+Sum(F241:G241),0)," "," Стр. 488, Гр. 1 [C241]  д.б. = [Окр(D241+Сум(F241:G241),0)] {" &amp; Round(D241+Sum(F241:G241),0) &amp; "}.")," ") &amp; IFERROR(If(H241=Round(I241+Sum(K241:L241),0)," "," Стр. 488, Гр. 6 [H241]  д.б. = [Окр(I241+Сум(K241:L241),0)] {" &amp; Round(I241+Sum(K241:L241),0) &amp; "}.")," ")</f>
        <v>0.0</v>
      </c>
    </row>
    <row r="242" customHeight="true" ht="30.0">
      <c r="A242" s="5" t="inlineStr">
        <is>
          <t>Северная Македония</t>
        </is>
      </c>
      <c r="B242" s="1" t="inlineStr">
        <is>
          <t>489</t>
        </is>
      </c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13">
        <f>IFERROR(If(C242=Round(D242+Sum(F242:G242),0)," "," Стр. 489, Гр. 1 [C242]  д.б. = [Окр(D242+Сум(F242:G242),0)] {" &amp; Round(D242+Sum(F242:G242),0) &amp; "}.")," ") &amp; IFERROR(If(H242=Round(I242+Sum(K242:L242),0)," "," Стр. 489, Гр. 6 [H242]  д.б. = [Окр(I242+Сум(K242:L242),0)] {" &amp; Round(I242+Sum(K242:L242),0) &amp; "}.")," ")</f>
        <v>0.0</v>
      </c>
    </row>
    <row r="243" customHeight="true" ht="30.0">
      <c r="A243" s="5" t="inlineStr">
        <is>
          <t>Египет</t>
        </is>
      </c>
      <c r="B243" s="1" t="inlineStr">
        <is>
          <t>490</t>
        </is>
      </c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13">
        <f>IFERROR(If(C243=Round(D243+Sum(F243:G243),0)," "," Стр. 490, Гр. 1 [C243]  д.б. = [Окр(D243+Сум(F243:G243),0)] {" &amp; Round(D243+Sum(F243:G243),0) &amp; "}.")," ") &amp; IFERROR(If(H243=Round(I243+Sum(K243:L243),0)," "," Стр. 490, Гр. 6 [H243]  д.б. = [Окр(I243+Сум(K243:L243),0)] {" &amp; Round(I243+Sum(K243:L243),0) &amp; "}.")," ")</f>
        <v>0.0</v>
      </c>
    </row>
    <row r="244" customHeight="true" ht="30.0">
      <c r="A244" s="5" t="inlineStr">
        <is>
          <t>Соединенное Королевство</t>
        </is>
      </c>
      <c r="B244" s="1" t="inlineStr">
        <is>
          <t>491</t>
        </is>
      </c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13">
        <f>IFERROR(If(C244=Round(D244+Sum(F244:G244),0)," "," Стр. 491, Гр. 1 [C244]  д.б. = [Окр(D244+Сум(F244:G244),0)] {" &amp; Round(D244+Sum(F244:G244),0) &amp; "}.")," ") &amp; IFERROR(If(H244=Round(I244+Sum(K244:L244),0)," "," Стр. 491, Гр. 6 [H244]  д.б. = [Окр(I244+Сум(K244:L244),0)] {" &amp; Round(I244+Sum(K244:L244),0) &amp; "}.")," ")</f>
        <v>0.0</v>
      </c>
    </row>
    <row r="245" customHeight="true" ht="30.0">
      <c r="A245" s="5" t="inlineStr">
        <is>
          <t>Гернси</t>
        </is>
      </c>
      <c r="B245" s="1" t="inlineStr">
        <is>
          <t>492</t>
        </is>
      </c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13">
        <f>IFERROR(If(C245=Round(D245+Sum(F245:G245),0)," "," Стр. 492, Гр. 1 [C245]  д.б. = [Окр(D245+Сум(F245:G245),0)] {" &amp; Round(D245+Sum(F245:G245),0) &amp; "}.")," ") &amp; IFERROR(If(H245=Round(I245+Sum(K245:L245),0)," "," Стр. 492, Гр. 6 [H245]  д.б. = [Окр(I245+Сум(K245:L245),0)] {" &amp; Round(I245+Sum(K245:L245),0) &amp; "}.")," ")</f>
        <v>0.0</v>
      </c>
    </row>
    <row r="246" customHeight="true" ht="30.0">
      <c r="A246" s="5" t="inlineStr">
        <is>
          <t>Джерси</t>
        </is>
      </c>
      <c r="B246" s="1" t="inlineStr">
        <is>
          <t>493</t>
        </is>
      </c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13">
        <f>IFERROR(If(C246=Round(D246+Sum(F246:G246),0)," "," Стр. 493, Гр. 1 [C246]  д.б. = [Окр(D246+Сум(F246:G246),0)] {" &amp; Round(D246+Sum(F246:G246),0) &amp; "}.")," ") &amp; IFERROR(If(H246=Round(I246+Sum(K246:L246),0)," "," Стр. 493, Гр. 6 [H246]  д.б. = [Окр(I246+Сум(K246:L246),0)] {" &amp; Round(I246+Sum(K246:L246),0) &amp; "}.")," ")</f>
        <v>0.0</v>
      </c>
    </row>
    <row r="247" customHeight="true" ht="30.0">
      <c r="A247" s="5" t="inlineStr">
        <is>
          <t>Остров Мэн</t>
        </is>
      </c>
      <c r="B247" s="1" t="inlineStr">
        <is>
          <t>494</t>
        </is>
      </c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13">
        <f>IFERROR(If(C247=Round(D247+Sum(F247:G247),0)," "," Стр. 494, Гр. 1 [C247]  д.б. = [Окр(D247+Сум(F247:G247),0)] {" &amp; Round(D247+Sum(F247:G247),0) &amp; "}.")," ") &amp; IFERROR(If(H247=Round(I247+Sum(K247:L247),0)," "," Стр. 494, Гр. 6 [H247]  д.б. = [Окр(I247+Сум(K247:L247),0)] {" &amp; Round(I247+Sum(K247:L247),0) &amp; "}.")," ")</f>
        <v>0.0</v>
      </c>
    </row>
    <row r="248" customHeight="true" ht="30.0">
      <c r="A248" s="5" t="inlineStr">
        <is>
          <t>Танзания, Объединенная Республика</t>
        </is>
      </c>
      <c r="B248" s="1" t="inlineStr">
        <is>
          <t>495</t>
        </is>
      </c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13">
        <f>IFERROR(If(C248=Round(D248+Sum(F248:G248),0)," "," Стр. 495, Гр. 1 [C248]  д.б. = [Окр(D248+Сум(F248:G248),0)] {" &amp; Round(D248+Sum(F248:G248),0) &amp; "}.")," ") &amp; IFERROR(If(H248=Round(I248+Sum(K248:L248),0)," "," Стр. 495, Гр. 6 [H248]  д.б. = [Окр(I248+Сум(K248:L248),0)] {" &amp; Round(I248+Sum(K248:L248),0) &amp; "}.")," ")</f>
        <v>0.0</v>
      </c>
    </row>
    <row r="249" customHeight="true" ht="30.0">
      <c r="A249" s="5" t="inlineStr">
        <is>
          <t>Соединенные Штаты</t>
        </is>
      </c>
      <c r="B249" s="1" t="inlineStr">
        <is>
          <t>496</t>
        </is>
      </c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13">
        <f>IFERROR(If(C249=Round(D249+Sum(F249:G249),0)," "," Стр. 496, Гр. 1 [C249]  д.б. = [Окр(D249+Сум(F249:G249),0)] {" &amp; Round(D249+Sum(F249:G249),0) &amp; "}.")," ") &amp; IFERROR(If(H249=Round(I249+Sum(K249:L249),0)," "," Стр. 496, Гр. 6 [H249]  д.б. = [Окр(I249+Сум(K249:L249),0)] {" &amp; Round(I249+Sum(K249:L249),0) &amp; "}.")," ")</f>
        <v>0.0</v>
      </c>
    </row>
    <row r="250" customHeight="true" ht="30.0">
      <c r="A250" s="5" t="inlineStr">
        <is>
          <t>Виргинские острова (США)</t>
        </is>
      </c>
      <c r="B250" s="1" t="inlineStr">
        <is>
          <t>497</t>
        </is>
      </c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13">
        <f>IFERROR(If(C250=Round(D250+Sum(F250:G250),0)," "," Стр. 497, Гр. 1 [C250]  д.б. = [Окр(D250+Сум(F250:G250),0)] {" &amp; Round(D250+Sum(F250:G250),0) &amp; "}.")," ") &amp; IFERROR(If(H250=Round(I250+Sum(K250:L250),0)," "," Стр. 497, Гр. 6 [H250]  д.б. = [Окр(I250+Сум(K250:L250),0)] {" &amp; Round(I250+Sum(K250:L250),0) &amp; "}.")," ")</f>
        <v>0.0</v>
      </c>
    </row>
    <row r="251" customHeight="true" ht="30.0">
      <c r="A251" s="5" t="inlineStr">
        <is>
          <t>Буркина-Фасо</t>
        </is>
      </c>
      <c r="B251" s="1" t="inlineStr">
        <is>
          <t>498</t>
        </is>
      </c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13">
        <f>IFERROR(If(C251=Round(D251+Sum(F251:G251),0)," "," Стр. 498, Гр. 1 [C251]  д.б. = [Окр(D251+Сум(F251:G251),0)] {" &amp; Round(D251+Sum(F251:G251),0) &amp; "}.")," ") &amp; IFERROR(If(H251=Round(I251+Sum(K251:L251),0)," "," Стр. 498, Гр. 6 [H251]  д.б. = [Окр(I251+Сум(K251:L251),0)] {" &amp; Round(I251+Sum(K251:L251),0) &amp; "}.")," ")</f>
        <v>0.0</v>
      </c>
    </row>
    <row r="252" customHeight="true" ht="30.0">
      <c r="A252" s="5" t="inlineStr">
        <is>
          <t>Уругвай</t>
        </is>
      </c>
      <c r="B252" s="1" t="inlineStr">
        <is>
          <t>499</t>
        </is>
      </c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13">
        <f>IFERROR(If(C252=Round(D252+Sum(F252:G252),0)," "," Стр. 499, Гр. 1 [C252]  д.б. = [Окр(D252+Сум(F252:G252),0)] {" &amp; Round(D252+Sum(F252:G252),0) &amp; "}.")," ") &amp; IFERROR(If(H252=Round(I252+Sum(K252:L252),0)," "," Стр. 499, Гр. 6 [H252]  д.б. = [Окр(I252+Сум(K252:L252),0)] {" &amp; Round(I252+Sum(K252:L252),0) &amp; "}.")," ")</f>
        <v>0.0</v>
      </c>
    </row>
    <row r="253" customHeight="true" ht="30.0">
      <c r="A253" s="5" t="inlineStr">
        <is>
          <t>Венесуэла (Боливарианская Республика)</t>
        </is>
      </c>
      <c r="B253" s="1" t="inlineStr">
        <is>
          <t>500</t>
        </is>
      </c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13">
        <f>IFERROR(If(C253=Round(D253+Sum(F253:G253),0)," "," Стр. 500, Гр. 1 [C253]  д.б. = [Окр(D253+Сум(F253:G253),0)] {" &amp; Round(D253+Sum(F253:G253),0) &amp; "}.")," ") &amp; IFERROR(If(H253=Round(I253+Sum(K253:L253),0)," "," Стр. 500, Гр. 6 [H253]  д.б. = [Окр(I253+Сум(K253:L253),0)] {" &amp; Round(I253+Sum(K253:L253),0) &amp; "}.")," ")</f>
        <v>0.0</v>
      </c>
    </row>
    <row r="254" customHeight="true" ht="30.0">
      <c r="A254" s="5" t="inlineStr">
        <is>
          <t>Уоллис и Футуна</t>
        </is>
      </c>
      <c r="B254" s="1" t="inlineStr">
        <is>
          <t>501</t>
        </is>
      </c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13">
        <f>IFERROR(If(C254=Round(D254+Sum(F254:G254),0)," "," Стр. 501, Гр. 1 [C254]  д.б. = [Окр(D254+Сум(F254:G254),0)] {" &amp; Round(D254+Sum(F254:G254),0) &amp; "}.")," ") &amp; IFERROR(If(H254=Round(I254+Sum(K254:L254),0)," "," Стр. 501, Гр. 6 [H254]  д.б. = [Окр(I254+Сум(K254:L254),0)] {" &amp; Round(I254+Sum(K254:L254),0) &amp; "}.")," ")</f>
        <v>0.0</v>
      </c>
    </row>
    <row r="255" customHeight="true" ht="30.0">
      <c r="A255" s="5" t="inlineStr">
        <is>
          <t>Самоа</t>
        </is>
      </c>
      <c r="B255" s="1" t="inlineStr">
        <is>
          <t>502</t>
        </is>
      </c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13">
        <f>IFERROR(If(C255=Round(D255+Sum(F255:G255),0)," "," Стр. 502, Гр. 1 [C255]  д.б. = [Окр(D255+Сум(F255:G255),0)] {" &amp; Round(D255+Sum(F255:G255),0) &amp; "}.")," ") &amp; IFERROR(If(H255=Round(I255+Sum(K255:L255),0)," "," Стр. 502, Гр. 6 [H255]  д.б. = [Окр(I255+Сум(K255:L255),0)] {" &amp; Round(I255+Sum(K255:L255),0) &amp; "}.")," ")</f>
        <v>0.0</v>
      </c>
    </row>
    <row r="256" customHeight="true" ht="30.0">
      <c r="A256" s="5" t="inlineStr">
        <is>
          <t>Йемен</t>
        </is>
      </c>
      <c r="B256" s="1" t="inlineStr">
        <is>
          <t>503</t>
        </is>
      </c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13">
        <f>IFERROR(If(C256=Round(D256+Sum(F256:G256),0)," "," Стр. 503, Гр. 1 [C256]  д.б. = [Окр(D256+Сум(F256:G256),0)] {" &amp; Round(D256+Sum(F256:G256),0) &amp; "}.")," ") &amp; IFERROR(If(H256=Round(I256+Sum(K256:L256),0)," "," Стр. 503, Гр. 6 [H256]  д.б. = [Окр(I256+Сум(K256:L256),0)] {" &amp; Round(I256+Sum(K256:L256),0) &amp; "}.")," ")</f>
        <v>0.0</v>
      </c>
    </row>
    <row r="257" customHeight="true" ht="30.0">
      <c r="A257" s="5" t="inlineStr">
        <is>
          <t>Замбия</t>
        </is>
      </c>
      <c r="B257" s="1" t="inlineStr">
        <is>
          <t>504</t>
        </is>
      </c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13">
        <f>IFERROR(If(C257=Round(D257+Sum(F257:G257),0)," "," Стр. 504, Гр. 1 [C257]  д.б. = [Окр(D257+Сум(F257:G257),0)] {" &amp; Round(D257+Sum(F257:G257),0) &amp; "}.")," ") &amp; IFERROR(If(H257=Round(I257+Sum(K257:L257),0)," "," Стр. 504, Гр. 6 [H257]  д.б. = [Окр(I257+Сум(K257:L257),0)] {" &amp; Round(I257+Sum(K257:L257),0) &amp; "}.")," ")</f>
        <v>0.0</v>
      </c>
    </row>
    <row r="258" customHeight="true" ht="30.0">
      <c r="A258" s="5" t="inlineStr">
        <is>
          <t>Южный Судан</t>
        </is>
      </c>
      <c r="B258" s="1" t="inlineStr">
        <is>
          <t>505</t>
        </is>
      </c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13">
        <f>IFERROR(If(C258=Round(D258+Sum(F258:G258),0)," "," Стр. 505, Гр. 1 [C258]  д.б. = [Окр(D258+Сум(F258:G258),0)] {" &amp; Round(D258+Sum(F258:G258),0) &amp; "}.")," ") &amp; IFERROR(If(H258=Round(I258+Sum(K258:L258),0)," "," Стр. 505, Гр. 6 [H258]  д.б. = [Окр(I258+Сум(K258:L258),0)] {" &amp; Round(I258+Sum(K258:L258),0) &amp; "}.")," ")</f>
        <v>0.0</v>
      </c>
    </row>
    <row r="259" customHeight="true" ht="30.0">
      <c r="A259" s="5" t="inlineStr">
        <is>
          <t>Не указавшие страну</t>
        </is>
      </c>
      <c r="B259" s="1" t="inlineStr">
        <is>
          <t>506</t>
        </is>
      </c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13">
        <f>IFERROR(If(C259=Round(D259+Sum(F259:G259),0)," "," Стр. 506, Гр. 1 [C259]  д.б. = [Окр(D259+Сум(F259:G259),0)] {" &amp; Round(D259+Sum(F259:G259),0) &amp; "}.")," ") &amp; IFERROR(If(H259=Round(I259+Sum(K259:L259),0)," "," Стр. 506, Гр. 6 [H259]  д.б. = [Окр(I259+Сум(K259:L259),0)] {" &amp; Round(I259+Sum(K259:L259),0) &amp; "}.")," ")</f>
        <v>0.0</v>
      </c>
    </row>
    <row r="261">
      <c r="A261" s="18" t="inlineStr">
        <is>
          <t>Примечание</t>
        </is>
      </c>
    </row>
    <row r="262" customHeight="true" ht="75.0">
      <c r="A262" s="10" t="inlineStr">
        <is>
          <t>Укажите границы трудоспособного возраста мужчин и  женщин в строке "Примечание пользователя"</t>
        </is>
      </c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</row>
    <row r="263">
      <c r="A263" s="18" t="inlineStr">
        <is>
          <t>Примечание пользователя</t>
        </is>
      </c>
    </row>
    <row r="264" customHeight="true" ht="75.0">
      <c r="A264" s="9" t="inlineStr">
        <is>
          <t/>
        </is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</row>
    <row r="265">
      <c r="A265" s="18" t="inlineStr">
        <is>
          <t>Контактная информация</t>
        </is>
      </c>
    </row>
    <row r="266">
      <c r="A266" t="inlineStr">
        <is>
          <t>Период, за который представлена информация:</t>
        </is>
      </c>
      <c r="B266" s="9" t="inlineStr">
        <is>
          <t/>
        </is>
      </c>
      <c r="C266" s="9"/>
      <c r="D266" s="9"/>
      <c r="E266" s="9"/>
    </row>
    <row r="267">
      <c r="A267" t="inlineStr">
        <is>
          <t>Исполнитель (ФИО):</t>
        </is>
      </c>
      <c r="B267" s="9" t="inlineStr">
        <is>
          <t/>
        </is>
      </c>
      <c r="C267" s="9"/>
      <c r="D267" s="9"/>
      <c r="E267" s="9"/>
    </row>
    <row r="268">
      <c r="A268" t="inlineStr">
        <is>
          <t>Телефон:</t>
        </is>
      </c>
      <c r="B268" s="9" t="inlineStr">
        <is>
          <t/>
        </is>
      </c>
      <c r="C268" s="9"/>
      <c r="D268" s="9"/>
      <c r="E268" s="9"/>
    </row>
    <row r="269">
      <c r="A269" t="inlineStr">
        <is>
          <t>E-mail:</t>
        </is>
      </c>
      <c r="B269" s="9" t="inlineStr">
        <is>
          <t/>
        </is>
      </c>
      <c r="C269" s="9"/>
      <c r="D269" s="9"/>
      <c r="E269" s="9"/>
    </row>
    <row r="270">
      <c r="A270" t="inlineStr">
        <is>
          <t>Другие примечания:</t>
        </is>
      </c>
      <c r="B270" s="9" t="inlineStr">
        <is>
          <t/>
        </is>
      </c>
      <c r="C270" s="9"/>
      <c r="D270" s="9"/>
      <c r="E270" s="9"/>
    </row>
  </sheetData>
  <sheetProtection deleteColumns="true" formatColumns="false" formatRows="false" sheet="true" password="CF66" scenarios="true" objects="true"/>
  <mergeCells>
    <mergeCell ref="A1:L1"/>
    <mergeCell ref="A2:A5"/>
    <mergeCell ref="B2:B5"/>
    <mergeCell ref="C2:G2"/>
    <mergeCell ref="H2:L2"/>
    <mergeCell ref="C3:C4"/>
    <mergeCell ref="D3:G3"/>
    <mergeCell ref="H3:H4"/>
    <mergeCell ref="I3:L3"/>
    <mergeCell ref="C6:L6"/>
    <mergeCell ref="A262:L262"/>
    <mergeCell ref="A264:L264"/>
    <mergeCell ref="B266:E266"/>
    <mergeCell ref="B267:E267"/>
    <mergeCell ref="B268:E268"/>
    <mergeCell ref="B269:E269"/>
    <mergeCell ref="B270:E270"/>
  </mergeCells>
  <conditionalFormatting sqref="C7">
    <cfRule type="cellIs" operator="notEqual" dxfId="536" priority="1">
      <formula>Round(C8+C20+C259,0)</formula>
    </cfRule>
  </conditionalFormatting>
  <conditionalFormatting sqref="C7">
    <cfRule type="cellIs" operator="notEqual" dxfId="537" priority="2">
      <formula>Round(D7+Sum(F7:G7),0)</formula>
    </cfRule>
  </conditionalFormatting>
  <conditionalFormatting sqref="H7">
    <cfRule type="cellIs" operator="notEqual" dxfId="538" priority="3">
      <formula>Round(I7+Sum(K7:L7),0)</formula>
    </cfRule>
  </conditionalFormatting>
  <conditionalFormatting sqref="C8">
    <cfRule type="cellIs" operator="notEqual" dxfId="539" priority="4">
      <formula>Round(D8+Sum(F8:G8),0)</formula>
    </cfRule>
  </conditionalFormatting>
  <conditionalFormatting sqref="C8">
    <cfRule type="cellIs" operator="notEqual" dxfId="540" priority="5">
      <formula>Round(Sum(C9:C19),0)</formula>
    </cfRule>
  </conditionalFormatting>
  <conditionalFormatting sqref="D8">
    <cfRule type="cellIs" operator="notEqual" dxfId="541" priority="6">
      <formula>Round(Sum(D9:D19),0)</formula>
    </cfRule>
  </conditionalFormatting>
  <conditionalFormatting sqref="E8">
    <cfRule type="cellIs" operator="notEqual" dxfId="542" priority="7">
      <formula>Round(Sum(E9:E19),0)</formula>
    </cfRule>
  </conditionalFormatting>
  <conditionalFormatting sqref="F8">
    <cfRule type="cellIs" operator="notEqual" dxfId="543" priority="8">
      <formula>Round(Sum(F9:F19),0)</formula>
    </cfRule>
  </conditionalFormatting>
  <conditionalFormatting sqref="G8">
    <cfRule type="cellIs" operator="notEqual" dxfId="544" priority="9">
      <formula>Round(Sum(G9:G19),0)</formula>
    </cfRule>
  </conditionalFormatting>
  <conditionalFormatting sqref="H8">
    <cfRule type="cellIs" operator="notEqual" dxfId="545" priority="10">
      <formula>Round(I8+Sum(K8:L8),0)</formula>
    </cfRule>
  </conditionalFormatting>
  <conditionalFormatting sqref="H8">
    <cfRule type="cellIs" operator="notEqual" dxfId="546" priority="11">
      <formula>Round(Sum(H9:H19),0)</formula>
    </cfRule>
  </conditionalFormatting>
  <conditionalFormatting sqref="I8">
    <cfRule type="cellIs" operator="notEqual" dxfId="547" priority="12">
      <formula>Round(Sum(I9:I19),0)</formula>
    </cfRule>
  </conditionalFormatting>
  <conditionalFormatting sqref="J8">
    <cfRule type="cellIs" operator="notEqual" dxfId="548" priority="13">
      <formula>Round(Sum(J9:J19),0)</formula>
    </cfRule>
  </conditionalFormatting>
  <conditionalFormatting sqref="K8">
    <cfRule type="cellIs" operator="notEqual" dxfId="549" priority="14">
      <formula>Round(Sum(K9:K19),0)</formula>
    </cfRule>
  </conditionalFormatting>
  <conditionalFormatting sqref="L8">
    <cfRule type="cellIs" operator="notEqual" dxfId="550" priority="15">
      <formula>Round(Sum(L9:L19),0)</formula>
    </cfRule>
  </conditionalFormatting>
  <conditionalFormatting sqref="C9">
    <cfRule type="cellIs" operator="notEqual" dxfId="551" priority="16">
      <formula>Round(D9+Sum(F9:G9),0)</formula>
    </cfRule>
  </conditionalFormatting>
  <conditionalFormatting sqref="H9">
    <cfRule type="cellIs" operator="notEqual" dxfId="552" priority="17">
      <formula>Round(I9+Sum(K9:L9),0)</formula>
    </cfRule>
  </conditionalFormatting>
  <conditionalFormatting sqref="C10">
    <cfRule type="cellIs" operator="notEqual" dxfId="553" priority="18">
      <formula>Round(D10+Sum(F10:G10),0)</formula>
    </cfRule>
  </conditionalFormatting>
  <conditionalFormatting sqref="H10">
    <cfRule type="cellIs" operator="notEqual" dxfId="554" priority="19">
      <formula>Round(I10+Sum(K10:L10),0)</formula>
    </cfRule>
  </conditionalFormatting>
  <conditionalFormatting sqref="C11">
    <cfRule type="cellIs" operator="notEqual" dxfId="555" priority="20">
      <formula>Round(D11+Sum(F11:G11),0)</formula>
    </cfRule>
  </conditionalFormatting>
  <conditionalFormatting sqref="H11">
    <cfRule type="cellIs" operator="notEqual" dxfId="556" priority="21">
      <formula>Round(I11+Sum(K11:L11),0)</formula>
    </cfRule>
  </conditionalFormatting>
  <conditionalFormatting sqref="C12">
    <cfRule type="cellIs" operator="notEqual" dxfId="557" priority="22">
      <formula>Round(D12+Sum(F12:G12),0)</formula>
    </cfRule>
  </conditionalFormatting>
  <conditionalFormatting sqref="H12">
    <cfRule type="cellIs" operator="notEqual" dxfId="558" priority="23">
      <formula>Round(I12+Sum(K12:L12),0)</formula>
    </cfRule>
  </conditionalFormatting>
  <conditionalFormatting sqref="C13">
    <cfRule type="cellIs" operator="notEqual" dxfId="559" priority="24">
      <formula>Round(D13+Sum(F13:G13),0)</formula>
    </cfRule>
  </conditionalFormatting>
  <conditionalFormatting sqref="H13">
    <cfRule type="cellIs" operator="notEqual" dxfId="560" priority="25">
      <formula>Round(I13+Sum(K13:L13),0)</formula>
    </cfRule>
  </conditionalFormatting>
  <conditionalFormatting sqref="C14">
    <cfRule type="cellIs" operator="notEqual" dxfId="561" priority="26">
      <formula>Round(D14+Sum(F14:G14),0)</formula>
    </cfRule>
  </conditionalFormatting>
  <conditionalFormatting sqref="H14">
    <cfRule type="cellIs" operator="notEqual" dxfId="562" priority="27">
      <formula>Round(I14+Sum(K14:L14),0)</formula>
    </cfRule>
  </conditionalFormatting>
  <conditionalFormatting sqref="C15">
    <cfRule type="cellIs" operator="notEqual" dxfId="563" priority="28">
      <formula>Round(D15+Sum(F15:G15),0)</formula>
    </cfRule>
  </conditionalFormatting>
  <conditionalFormatting sqref="H15">
    <cfRule type="cellIs" operator="notEqual" dxfId="564" priority="29">
      <formula>Round(I15+Sum(K15:L15),0)</formula>
    </cfRule>
  </conditionalFormatting>
  <conditionalFormatting sqref="C16">
    <cfRule type="cellIs" operator="notEqual" dxfId="565" priority="30">
      <formula>Round(D16+Sum(F16:G16),0)</formula>
    </cfRule>
  </conditionalFormatting>
  <conditionalFormatting sqref="H16">
    <cfRule type="cellIs" operator="notEqual" dxfId="566" priority="31">
      <formula>Round(I16+Sum(K16:L16),0)</formula>
    </cfRule>
  </conditionalFormatting>
  <conditionalFormatting sqref="C17">
    <cfRule type="cellIs" operator="notEqual" dxfId="567" priority="32">
      <formula>Round(D17+Sum(F17:G17),0)</formula>
    </cfRule>
  </conditionalFormatting>
  <conditionalFormatting sqref="H17">
    <cfRule type="cellIs" operator="notEqual" dxfId="568" priority="33">
      <formula>Round(I17+Sum(K17:L17),0)</formula>
    </cfRule>
  </conditionalFormatting>
  <conditionalFormatting sqref="C18">
    <cfRule type="cellIs" operator="notEqual" dxfId="569" priority="34">
      <formula>Round(D18+Sum(F18:G18),0)</formula>
    </cfRule>
  </conditionalFormatting>
  <conditionalFormatting sqref="H18">
    <cfRule type="cellIs" operator="notEqual" dxfId="570" priority="35">
      <formula>Round(I18+Sum(K18:L18),0)</formula>
    </cfRule>
  </conditionalFormatting>
  <conditionalFormatting sqref="C19">
    <cfRule type="cellIs" operator="notEqual" dxfId="571" priority="36">
      <formula>Round(D19+Sum(F19:G19),0)</formula>
    </cfRule>
  </conditionalFormatting>
  <conditionalFormatting sqref="H19">
    <cfRule type="cellIs" operator="notEqual" dxfId="572" priority="37">
      <formula>Round(I19+Sum(K19:L19),0)</formula>
    </cfRule>
  </conditionalFormatting>
  <conditionalFormatting sqref="C20">
    <cfRule type="cellIs" operator="notEqual" dxfId="573" priority="38">
      <formula>Round(D20+Sum(F20:G20),0)</formula>
    </cfRule>
  </conditionalFormatting>
  <conditionalFormatting sqref="C20">
    <cfRule type="cellIs" operator="notEqual" dxfId="574" priority="39">
      <formula>Round(Sum(C21:C258),0)</formula>
    </cfRule>
  </conditionalFormatting>
  <conditionalFormatting sqref="D20">
    <cfRule type="cellIs" operator="notEqual" dxfId="575" priority="40">
      <formula>Round(Sum(D21:D258),0)</formula>
    </cfRule>
  </conditionalFormatting>
  <conditionalFormatting sqref="E20">
    <cfRule type="cellIs" operator="notEqual" dxfId="576" priority="41">
      <formula>Round(Sum(E21:E258),0)</formula>
    </cfRule>
  </conditionalFormatting>
  <conditionalFormatting sqref="F20">
    <cfRule type="cellIs" operator="notEqual" dxfId="577" priority="42">
      <formula>Round(Sum(F21:F258),0)</formula>
    </cfRule>
  </conditionalFormatting>
  <conditionalFormatting sqref="G20">
    <cfRule type="cellIs" operator="notEqual" dxfId="578" priority="43">
      <formula>Round(Sum(G21:G258),0)</formula>
    </cfRule>
  </conditionalFormatting>
  <conditionalFormatting sqref="H20">
    <cfRule type="cellIs" operator="notEqual" dxfId="579" priority="44">
      <formula>Round(I20+Sum(K20:L20),0)</formula>
    </cfRule>
  </conditionalFormatting>
  <conditionalFormatting sqref="H20">
    <cfRule type="cellIs" operator="notEqual" dxfId="580" priority="45">
      <formula>Round(Sum(H21:H258),0)</formula>
    </cfRule>
  </conditionalFormatting>
  <conditionalFormatting sqref="I20">
    <cfRule type="cellIs" operator="notEqual" dxfId="581" priority="46">
      <formula>Round(Sum(I21:I258),0)</formula>
    </cfRule>
  </conditionalFormatting>
  <conditionalFormatting sqref="J20">
    <cfRule type="cellIs" operator="notEqual" dxfId="582" priority="47">
      <formula>Round(Sum(J21:J258),0)</formula>
    </cfRule>
  </conditionalFormatting>
  <conditionalFormatting sqref="K20">
    <cfRule type="cellIs" operator="notEqual" dxfId="583" priority="48">
      <formula>Round(Sum(K21:K258),0)</formula>
    </cfRule>
  </conditionalFormatting>
  <conditionalFormatting sqref="L20">
    <cfRule type="cellIs" operator="notEqual" dxfId="584" priority="49">
      <formula>Round(Sum(L21:L258),0)</formula>
    </cfRule>
  </conditionalFormatting>
  <conditionalFormatting sqref="C21">
    <cfRule type="cellIs" operator="notEqual" dxfId="585" priority="50">
      <formula>Round(D21+Sum(F21:G21),0)</formula>
    </cfRule>
  </conditionalFormatting>
  <conditionalFormatting sqref="H21">
    <cfRule type="cellIs" operator="notEqual" dxfId="586" priority="51">
      <formula>Round(I21+Sum(K21:L21),0)</formula>
    </cfRule>
  </conditionalFormatting>
  <conditionalFormatting sqref="C22">
    <cfRule type="cellIs" operator="notEqual" dxfId="587" priority="52">
      <formula>Round(D22+Sum(F22:G22),0)</formula>
    </cfRule>
  </conditionalFormatting>
  <conditionalFormatting sqref="H22">
    <cfRule type="cellIs" operator="notEqual" dxfId="588" priority="53">
      <formula>Round(I22+Sum(K22:L22),0)</formula>
    </cfRule>
  </conditionalFormatting>
  <conditionalFormatting sqref="C23">
    <cfRule type="cellIs" operator="notEqual" dxfId="589" priority="54">
      <formula>Round(D23+Sum(F23:G23),0)</formula>
    </cfRule>
  </conditionalFormatting>
  <conditionalFormatting sqref="H23">
    <cfRule type="cellIs" operator="notEqual" dxfId="590" priority="55">
      <formula>Round(I23+Sum(K23:L23),0)</formula>
    </cfRule>
  </conditionalFormatting>
  <conditionalFormatting sqref="C24">
    <cfRule type="cellIs" operator="notEqual" dxfId="591" priority="56">
      <formula>Round(D24+Sum(F24:G24),0)</formula>
    </cfRule>
  </conditionalFormatting>
  <conditionalFormatting sqref="H24">
    <cfRule type="cellIs" operator="notEqual" dxfId="592" priority="57">
      <formula>Round(I24+Sum(K24:L24),0)</formula>
    </cfRule>
  </conditionalFormatting>
  <conditionalFormatting sqref="C25">
    <cfRule type="cellIs" operator="notEqual" dxfId="593" priority="58">
      <formula>Round(D25+Sum(F25:G25),0)</formula>
    </cfRule>
  </conditionalFormatting>
  <conditionalFormatting sqref="H25">
    <cfRule type="cellIs" operator="notEqual" dxfId="594" priority="59">
      <formula>Round(I25+Sum(K25:L25),0)</formula>
    </cfRule>
  </conditionalFormatting>
  <conditionalFormatting sqref="C26">
    <cfRule type="cellIs" operator="notEqual" dxfId="595" priority="60">
      <formula>Round(D26+Sum(F26:G26),0)</formula>
    </cfRule>
  </conditionalFormatting>
  <conditionalFormatting sqref="H26">
    <cfRule type="cellIs" operator="notEqual" dxfId="596" priority="61">
      <formula>Round(I26+Sum(K26:L26),0)</formula>
    </cfRule>
  </conditionalFormatting>
  <conditionalFormatting sqref="C27">
    <cfRule type="cellIs" operator="notEqual" dxfId="597" priority="62">
      <formula>Round(D27+Sum(F27:G27),0)</formula>
    </cfRule>
  </conditionalFormatting>
  <conditionalFormatting sqref="H27">
    <cfRule type="cellIs" operator="notEqual" dxfId="598" priority="63">
      <formula>Round(I27+Sum(K27:L27),0)</formula>
    </cfRule>
  </conditionalFormatting>
  <conditionalFormatting sqref="C28">
    <cfRule type="cellIs" operator="notEqual" dxfId="599" priority="64">
      <formula>Round(D28+Sum(F28:G28),0)</formula>
    </cfRule>
  </conditionalFormatting>
  <conditionalFormatting sqref="H28">
    <cfRule type="cellIs" operator="notEqual" dxfId="600" priority="65">
      <formula>Round(I28+Sum(K28:L28),0)</formula>
    </cfRule>
  </conditionalFormatting>
  <conditionalFormatting sqref="C29">
    <cfRule type="cellIs" operator="notEqual" dxfId="601" priority="66">
      <formula>Round(D29+Sum(F29:G29),0)</formula>
    </cfRule>
  </conditionalFormatting>
  <conditionalFormatting sqref="H29">
    <cfRule type="cellIs" operator="notEqual" dxfId="602" priority="67">
      <formula>Round(I29+Sum(K29:L29),0)</formula>
    </cfRule>
  </conditionalFormatting>
  <conditionalFormatting sqref="C30">
    <cfRule type="cellIs" operator="notEqual" dxfId="603" priority="68">
      <formula>Round(D30+Sum(F30:G30),0)</formula>
    </cfRule>
  </conditionalFormatting>
  <conditionalFormatting sqref="H30">
    <cfRule type="cellIs" operator="notEqual" dxfId="604" priority="69">
      <formula>Round(I30+Sum(K30:L30),0)</formula>
    </cfRule>
  </conditionalFormatting>
  <conditionalFormatting sqref="C31">
    <cfRule type="cellIs" operator="notEqual" dxfId="605" priority="70">
      <formula>Round(D31+Sum(F31:G31),0)</formula>
    </cfRule>
  </conditionalFormatting>
  <conditionalFormatting sqref="H31">
    <cfRule type="cellIs" operator="notEqual" dxfId="606" priority="71">
      <formula>Round(I31+Sum(K31:L31),0)</formula>
    </cfRule>
  </conditionalFormatting>
  <conditionalFormatting sqref="C32">
    <cfRule type="cellIs" operator="notEqual" dxfId="607" priority="72">
      <formula>Round(D32+Sum(F32:G32),0)</formula>
    </cfRule>
  </conditionalFormatting>
  <conditionalFormatting sqref="H32">
    <cfRule type="cellIs" operator="notEqual" dxfId="608" priority="73">
      <formula>Round(I32+Sum(K32:L32),0)</formula>
    </cfRule>
  </conditionalFormatting>
  <conditionalFormatting sqref="C33">
    <cfRule type="cellIs" operator="notEqual" dxfId="609" priority="74">
      <formula>Round(D33+Sum(F33:G33),0)</formula>
    </cfRule>
  </conditionalFormatting>
  <conditionalFormatting sqref="H33">
    <cfRule type="cellIs" operator="notEqual" dxfId="610" priority="75">
      <formula>Round(I33+Sum(K33:L33),0)</formula>
    </cfRule>
  </conditionalFormatting>
  <conditionalFormatting sqref="C34">
    <cfRule type="cellIs" operator="notEqual" dxfId="611" priority="76">
      <formula>Round(D34+Sum(F34:G34),0)</formula>
    </cfRule>
  </conditionalFormatting>
  <conditionalFormatting sqref="H34">
    <cfRule type="cellIs" operator="notEqual" dxfId="612" priority="77">
      <formula>Round(I34+Sum(K34:L34),0)</formula>
    </cfRule>
  </conditionalFormatting>
  <conditionalFormatting sqref="C35">
    <cfRule type="cellIs" operator="notEqual" dxfId="613" priority="78">
      <formula>Round(D35+Sum(F35:G35),0)</formula>
    </cfRule>
  </conditionalFormatting>
  <conditionalFormatting sqref="H35">
    <cfRule type="cellIs" operator="notEqual" dxfId="614" priority="79">
      <formula>Round(I35+Sum(K35:L35),0)</formula>
    </cfRule>
  </conditionalFormatting>
  <conditionalFormatting sqref="C36">
    <cfRule type="cellIs" operator="notEqual" dxfId="615" priority="80">
      <formula>Round(D36+Sum(F36:G36),0)</formula>
    </cfRule>
  </conditionalFormatting>
  <conditionalFormatting sqref="H36">
    <cfRule type="cellIs" operator="notEqual" dxfId="616" priority="81">
      <formula>Round(I36+Sum(K36:L36),0)</formula>
    </cfRule>
  </conditionalFormatting>
  <conditionalFormatting sqref="C37">
    <cfRule type="cellIs" operator="notEqual" dxfId="617" priority="82">
      <formula>Round(D37+Sum(F37:G37),0)</formula>
    </cfRule>
  </conditionalFormatting>
  <conditionalFormatting sqref="H37">
    <cfRule type="cellIs" operator="notEqual" dxfId="618" priority="83">
      <formula>Round(I37+Sum(K37:L37),0)</formula>
    </cfRule>
  </conditionalFormatting>
  <conditionalFormatting sqref="C38">
    <cfRule type="cellIs" operator="notEqual" dxfId="619" priority="84">
      <formula>Round(D38+Sum(F38:G38),0)</formula>
    </cfRule>
  </conditionalFormatting>
  <conditionalFormatting sqref="H38">
    <cfRule type="cellIs" operator="notEqual" dxfId="620" priority="85">
      <formula>Round(I38+Sum(K38:L38),0)</formula>
    </cfRule>
  </conditionalFormatting>
  <conditionalFormatting sqref="C39">
    <cfRule type="cellIs" operator="notEqual" dxfId="621" priority="86">
      <formula>Round(D39+Sum(F39:G39),0)</formula>
    </cfRule>
  </conditionalFormatting>
  <conditionalFormatting sqref="H39">
    <cfRule type="cellIs" operator="notEqual" dxfId="622" priority="87">
      <formula>Round(I39+Sum(K39:L39),0)</formula>
    </cfRule>
  </conditionalFormatting>
  <conditionalFormatting sqref="C40">
    <cfRule type="cellIs" operator="notEqual" dxfId="623" priority="88">
      <formula>Round(D40+Sum(F40:G40),0)</formula>
    </cfRule>
  </conditionalFormatting>
  <conditionalFormatting sqref="H40">
    <cfRule type="cellIs" operator="notEqual" dxfId="624" priority="89">
      <formula>Round(I40+Sum(K40:L40),0)</formula>
    </cfRule>
  </conditionalFormatting>
  <conditionalFormatting sqref="C41">
    <cfRule type="cellIs" operator="notEqual" dxfId="625" priority="90">
      <formula>Round(D41+Sum(F41:G41),0)</formula>
    </cfRule>
  </conditionalFormatting>
  <conditionalFormatting sqref="H41">
    <cfRule type="cellIs" operator="notEqual" dxfId="626" priority="91">
      <formula>Round(I41+Sum(K41:L41),0)</formula>
    </cfRule>
  </conditionalFormatting>
  <conditionalFormatting sqref="C42">
    <cfRule type="cellIs" operator="notEqual" dxfId="627" priority="92">
      <formula>Round(D42+Sum(F42:G42),0)</formula>
    </cfRule>
  </conditionalFormatting>
  <conditionalFormatting sqref="H42">
    <cfRule type="cellIs" operator="notEqual" dxfId="628" priority="93">
      <formula>Round(I42+Sum(K42:L42),0)</formula>
    </cfRule>
  </conditionalFormatting>
  <conditionalFormatting sqref="C43">
    <cfRule type="cellIs" operator="notEqual" dxfId="629" priority="94">
      <formula>Round(D43+Sum(F43:G43),0)</formula>
    </cfRule>
  </conditionalFormatting>
  <conditionalFormatting sqref="H43">
    <cfRule type="cellIs" operator="notEqual" dxfId="630" priority="95">
      <formula>Round(I43+Sum(K43:L43),0)</formula>
    </cfRule>
  </conditionalFormatting>
  <conditionalFormatting sqref="C44">
    <cfRule type="cellIs" operator="notEqual" dxfId="631" priority="96">
      <formula>Round(D44+Sum(F44:G44),0)</formula>
    </cfRule>
  </conditionalFormatting>
  <conditionalFormatting sqref="H44">
    <cfRule type="cellIs" operator="notEqual" dxfId="632" priority="97">
      <formula>Round(I44+Sum(K44:L44),0)</formula>
    </cfRule>
  </conditionalFormatting>
  <conditionalFormatting sqref="C45">
    <cfRule type="cellIs" operator="notEqual" dxfId="633" priority="98">
      <formula>Round(D45+Sum(F45:G45),0)</formula>
    </cfRule>
  </conditionalFormatting>
  <conditionalFormatting sqref="H45">
    <cfRule type="cellIs" operator="notEqual" dxfId="634" priority="99">
      <formula>Round(I45+Sum(K45:L45),0)</formula>
    </cfRule>
  </conditionalFormatting>
  <conditionalFormatting sqref="C46">
    <cfRule type="cellIs" operator="notEqual" dxfId="635" priority="100">
      <formula>Round(D46+Sum(F46:G46),0)</formula>
    </cfRule>
  </conditionalFormatting>
  <conditionalFormatting sqref="H46">
    <cfRule type="cellIs" operator="notEqual" dxfId="636" priority="101">
      <formula>Round(I46+Sum(K46:L46),0)</formula>
    </cfRule>
  </conditionalFormatting>
  <conditionalFormatting sqref="C47">
    <cfRule type="cellIs" operator="notEqual" dxfId="637" priority="102">
      <formula>Round(D47+Sum(F47:G47),0)</formula>
    </cfRule>
  </conditionalFormatting>
  <conditionalFormatting sqref="H47">
    <cfRule type="cellIs" operator="notEqual" dxfId="638" priority="103">
      <formula>Round(I47+Sum(K47:L47),0)</formula>
    </cfRule>
  </conditionalFormatting>
  <conditionalFormatting sqref="C48">
    <cfRule type="cellIs" operator="notEqual" dxfId="639" priority="104">
      <formula>Round(D48+Sum(F48:G48),0)</formula>
    </cfRule>
  </conditionalFormatting>
  <conditionalFormatting sqref="H48">
    <cfRule type="cellIs" operator="notEqual" dxfId="640" priority="105">
      <formula>Round(I48+Sum(K48:L48),0)</formula>
    </cfRule>
  </conditionalFormatting>
  <conditionalFormatting sqref="C49">
    <cfRule type="cellIs" operator="notEqual" dxfId="641" priority="106">
      <formula>Round(D49+Sum(F49:G49),0)</formula>
    </cfRule>
  </conditionalFormatting>
  <conditionalFormatting sqref="H49">
    <cfRule type="cellIs" operator="notEqual" dxfId="642" priority="107">
      <formula>Round(I49+Sum(K49:L49),0)</formula>
    </cfRule>
  </conditionalFormatting>
  <conditionalFormatting sqref="C50">
    <cfRule type="cellIs" operator="notEqual" dxfId="643" priority="108">
      <formula>Round(D50+Sum(F50:G50),0)</formula>
    </cfRule>
  </conditionalFormatting>
  <conditionalFormatting sqref="H50">
    <cfRule type="cellIs" operator="notEqual" dxfId="644" priority="109">
      <formula>Round(I50+Sum(K50:L50),0)</formula>
    </cfRule>
  </conditionalFormatting>
  <conditionalFormatting sqref="C51">
    <cfRule type="cellIs" operator="notEqual" dxfId="645" priority="110">
      <formula>Round(D51+Sum(F51:G51),0)</formula>
    </cfRule>
  </conditionalFormatting>
  <conditionalFormatting sqref="H51">
    <cfRule type="cellIs" operator="notEqual" dxfId="646" priority="111">
      <formula>Round(I51+Sum(K51:L51),0)</formula>
    </cfRule>
  </conditionalFormatting>
  <conditionalFormatting sqref="C52">
    <cfRule type="cellIs" operator="notEqual" dxfId="647" priority="112">
      <formula>Round(D52+Sum(F52:G52),0)</formula>
    </cfRule>
  </conditionalFormatting>
  <conditionalFormatting sqref="H52">
    <cfRule type="cellIs" operator="notEqual" dxfId="648" priority="113">
      <formula>Round(I52+Sum(K52:L52),0)</formula>
    </cfRule>
  </conditionalFormatting>
  <conditionalFormatting sqref="C53">
    <cfRule type="cellIs" operator="notEqual" dxfId="649" priority="114">
      <formula>Round(D53+Sum(F53:G53),0)</formula>
    </cfRule>
  </conditionalFormatting>
  <conditionalFormatting sqref="H53">
    <cfRule type="cellIs" operator="notEqual" dxfId="650" priority="115">
      <formula>Round(I53+Sum(K53:L53),0)</formula>
    </cfRule>
  </conditionalFormatting>
  <conditionalFormatting sqref="C54">
    <cfRule type="cellIs" operator="notEqual" dxfId="651" priority="116">
      <formula>Round(D54+Sum(F54:G54),0)</formula>
    </cfRule>
  </conditionalFormatting>
  <conditionalFormatting sqref="H54">
    <cfRule type="cellIs" operator="notEqual" dxfId="652" priority="117">
      <formula>Round(I54+Sum(K54:L54),0)</formula>
    </cfRule>
  </conditionalFormatting>
  <conditionalFormatting sqref="C55">
    <cfRule type="cellIs" operator="notEqual" dxfId="653" priority="118">
      <formula>Round(D55+Sum(F55:G55),0)</formula>
    </cfRule>
  </conditionalFormatting>
  <conditionalFormatting sqref="H55">
    <cfRule type="cellIs" operator="notEqual" dxfId="654" priority="119">
      <formula>Round(I55+Sum(K55:L55),0)</formula>
    </cfRule>
  </conditionalFormatting>
  <conditionalFormatting sqref="C56">
    <cfRule type="cellIs" operator="notEqual" dxfId="655" priority="120">
      <formula>Round(D56+Sum(F56:G56),0)</formula>
    </cfRule>
  </conditionalFormatting>
  <conditionalFormatting sqref="H56">
    <cfRule type="cellIs" operator="notEqual" dxfId="656" priority="121">
      <formula>Round(I56+Sum(K56:L56),0)</formula>
    </cfRule>
  </conditionalFormatting>
  <conditionalFormatting sqref="C57">
    <cfRule type="cellIs" operator="notEqual" dxfId="657" priority="122">
      <formula>Round(D57+Sum(F57:G57),0)</formula>
    </cfRule>
  </conditionalFormatting>
  <conditionalFormatting sqref="H57">
    <cfRule type="cellIs" operator="notEqual" dxfId="658" priority="123">
      <formula>Round(I57+Sum(K57:L57),0)</formula>
    </cfRule>
  </conditionalFormatting>
  <conditionalFormatting sqref="C58">
    <cfRule type="cellIs" operator="notEqual" dxfId="659" priority="124">
      <formula>Round(D58+Sum(F58:G58),0)</formula>
    </cfRule>
  </conditionalFormatting>
  <conditionalFormatting sqref="H58">
    <cfRule type="cellIs" operator="notEqual" dxfId="660" priority="125">
      <formula>Round(I58+Sum(K58:L58),0)</formula>
    </cfRule>
  </conditionalFormatting>
  <conditionalFormatting sqref="C59">
    <cfRule type="cellIs" operator="notEqual" dxfId="661" priority="126">
      <formula>Round(D59+Sum(F59:G59),0)</formula>
    </cfRule>
  </conditionalFormatting>
  <conditionalFormatting sqref="H59">
    <cfRule type="cellIs" operator="notEqual" dxfId="662" priority="127">
      <formula>Round(I59+Sum(K59:L59),0)</formula>
    </cfRule>
  </conditionalFormatting>
  <conditionalFormatting sqref="C60">
    <cfRule type="cellIs" operator="notEqual" dxfId="663" priority="128">
      <formula>Round(D60+Sum(F60:G60),0)</formula>
    </cfRule>
  </conditionalFormatting>
  <conditionalFormatting sqref="H60">
    <cfRule type="cellIs" operator="notEqual" dxfId="664" priority="129">
      <formula>Round(I60+Sum(K60:L60),0)</formula>
    </cfRule>
  </conditionalFormatting>
  <conditionalFormatting sqref="C61">
    <cfRule type="cellIs" operator="notEqual" dxfId="665" priority="130">
      <formula>Round(D61+Sum(F61:G61),0)</formula>
    </cfRule>
  </conditionalFormatting>
  <conditionalFormatting sqref="H61">
    <cfRule type="cellIs" operator="notEqual" dxfId="666" priority="131">
      <formula>Round(I61+Sum(K61:L61),0)</formula>
    </cfRule>
  </conditionalFormatting>
  <conditionalFormatting sqref="C62">
    <cfRule type="cellIs" operator="notEqual" dxfId="667" priority="132">
      <formula>Round(D62+Sum(F62:G62),0)</formula>
    </cfRule>
  </conditionalFormatting>
  <conditionalFormatting sqref="H62">
    <cfRule type="cellIs" operator="notEqual" dxfId="668" priority="133">
      <formula>Round(I62+Sum(K62:L62),0)</formula>
    </cfRule>
  </conditionalFormatting>
  <conditionalFormatting sqref="C63">
    <cfRule type="cellIs" operator="notEqual" dxfId="669" priority="134">
      <formula>Round(D63+Sum(F63:G63),0)</formula>
    </cfRule>
  </conditionalFormatting>
  <conditionalFormatting sqref="H63">
    <cfRule type="cellIs" operator="notEqual" dxfId="670" priority="135">
      <formula>Round(I63+Sum(K63:L63),0)</formula>
    </cfRule>
  </conditionalFormatting>
  <conditionalFormatting sqref="C64">
    <cfRule type="cellIs" operator="notEqual" dxfId="671" priority="136">
      <formula>Round(D64+Sum(F64:G64),0)</formula>
    </cfRule>
  </conditionalFormatting>
  <conditionalFormatting sqref="H64">
    <cfRule type="cellIs" operator="notEqual" dxfId="672" priority="137">
      <formula>Round(I64+Sum(K64:L64),0)</formula>
    </cfRule>
  </conditionalFormatting>
  <conditionalFormatting sqref="C65">
    <cfRule type="cellIs" operator="notEqual" dxfId="673" priority="138">
      <formula>Round(D65+Sum(F65:G65),0)</formula>
    </cfRule>
  </conditionalFormatting>
  <conditionalFormatting sqref="H65">
    <cfRule type="cellIs" operator="notEqual" dxfId="674" priority="139">
      <formula>Round(I65+Sum(K65:L65),0)</formula>
    </cfRule>
  </conditionalFormatting>
  <conditionalFormatting sqref="C66">
    <cfRule type="cellIs" operator="notEqual" dxfId="675" priority="140">
      <formula>Round(D66+Sum(F66:G66),0)</formula>
    </cfRule>
  </conditionalFormatting>
  <conditionalFormatting sqref="H66">
    <cfRule type="cellIs" operator="notEqual" dxfId="676" priority="141">
      <formula>Round(I66+Sum(K66:L66),0)</formula>
    </cfRule>
  </conditionalFormatting>
  <conditionalFormatting sqref="C67">
    <cfRule type="cellIs" operator="notEqual" dxfId="677" priority="142">
      <formula>Round(D67+Sum(F67:G67),0)</formula>
    </cfRule>
  </conditionalFormatting>
  <conditionalFormatting sqref="H67">
    <cfRule type="cellIs" operator="notEqual" dxfId="678" priority="143">
      <formula>Round(I67+Sum(K67:L67),0)</formula>
    </cfRule>
  </conditionalFormatting>
  <conditionalFormatting sqref="C68">
    <cfRule type="cellIs" operator="notEqual" dxfId="679" priority="144">
      <formula>Round(D68+Sum(F68:G68),0)</formula>
    </cfRule>
  </conditionalFormatting>
  <conditionalFormatting sqref="H68">
    <cfRule type="cellIs" operator="notEqual" dxfId="680" priority="145">
      <formula>Round(I68+Sum(K68:L68),0)</formula>
    </cfRule>
  </conditionalFormatting>
  <conditionalFormatting sqref="C69">
    <cfRule type="cellIs" operator="notEqual" dxfId="681" priority="146">
      <formula>Round(D69+Sum(F69:G69),0)</formula>
    </cfRule>
  </conditionalFormatting>
  <conditionalFormatting sqref="H69">
    <cfRule type="cellIs" operator="notEqual" dxfId="682" priority="147">
      <formula>Round(I69+Sum(K69:L69),0)</formula>
    </cfRule>
  </conditionalFormatting>
  <conditionalFormatting sqref="C70">
    <cfRule type="cellIs" operator="notEqual" dxfId="683" priority="148">
      <formula>Round(D70+Sum(F70:G70),0)</formula>
    </cfRule>
  </conditionalFormatting>
  <conditionalFormatting sqref="H70">
    <cfRule type="cellIs" operator="notEqual" dxfId="684" priority="149">
      <formula>Round(I70+Sum(K70:L70),0)</formula>
    </cfRule>
  </conditionalFormatting>
  <conditionalFormatting sqref="C71">
    <cfRule type="cellIs" operator="notEqual" dxfId="685" priority="150">
      <formula>Round(D71+Sum(F71:G71),0)</formula>
    </cfRule>
  </conditionalFormatting>
  <conditionalFormatting sqref="H71">
    <cfRule type="cellIs" operator="notEqual" dxfId="686" priority="151">
      <formula>Round(I71+Sum(K71:L71),0)</formula>
    </cfRule>
  </conditionalFormatting>
  <conditionalFormatting sqref="C72">
    <cfRule type="cellIs" operator="notEqual" dxfId="687" priority="152">
      <formula>Round(D72+Sum(F72:G72),0)</formula>
    </cfRule>
  </conditionalFormatting>
  <conditionalFormatting sqref="H72">
    <cfRule type="cellIs" operator="notEqual" dxfId="688" priority="153">
      <formula>Round(I72+Sum(K72:L72),0)</formula>
    </cfRule>
  </conditionalFormatting>
  <conditionalFormatting sqref="C73">
    <cfRule type="cellIs" operator="notEqual" dxfId="689" priority="154">
      <formula>Round(D73+Sum(F73:G73),0)</formula>
    </cfRule>
  </conditionalFormatting>
  <conditionalFormatting sqref="H73">
    <cfRule type="cellIs" operator="notEqual" dxfId="690" priority="155">
      <formula>Round(I73+Sum(K73:L73),0)</formula>
    </cfRule>
  </conditionalFormatting>
  <conditionalFormatting sqref="C74">
    <cfRule type="cellIs" operator="notEqual" dxfId="691" priority="156">
      <formula>Round(D74+Sum(F74:G74),0)</formula>
    </cfRule>
  </conditionalFormatting>
  <conditionalFormatting sqref="H74">
    <cfRule type="cellIs" operator="notEqual" dxfId="692" priority="157">
      <formula>Round(I74+Sum(K74:L74),0)</formula>
    </cfRule>
  </conditionalFormatting>
  <conditionalFormatting sqref="C75">
    <cfRule type="cellIs" operator="notEqual" dxfId="693" priority="158">
      <formula>Round(D75+Sum(F75:G75),0)</formula>
    </cfRule>
  </conditionalFormatting>
  <conditionalFormatting sqref="H75">
    <cfRule type="cellIs" operator="notEqual" dxfId="694" priority="159">
      <formula>Round(I75+Sum(K75:L75),0)</formula>
    </cfRule>
  </conditionalFormatting>
  <conditionalFormatting sqref="C76">
    <cfRule type="cellIs" operator="notEqual" dxfId="695" priority="160">
      <formula>Round(D76+Sum(F76:G76),0)</formula>
    </cfRule>
  </conditionalFormatting>
  <conditionalFormatting sqref="H76">
    <cfRule type="cellIs" operator="notEqual" dxfId="696" priority="161">
      <formula>Round(I76+Sum(K76:L76),0)</formula>
    </cfRule>
  </conditionalFormatting>
  <conditionalFormatting sqref="C77">
    <cfRule type="cellIs" operator="notEqual" dxfId="697" priority="162">
      <formula>Round(D77+Sum(F77:G77),0)</formula>
    </cfRule>
  </conditionalFormatting>
  <conditionalFormatting sqref="H77">
    <cfRule type="cellIs" operator="notEqual" dxfId="698" priority="163">
      <formula>Round(I77+Sum(K77:L77),0)</formula>
    </cfRule>
  </conditionalFormatting>
  <conditionalFormatting sqref="C78">
    <cfRule type="cellIs" operator="notEqual" dxfId="699" priority="164">
      <formula>Round(D78+Sum(F78:G78),0)</formula>
    </cfRule>
  </conditionalFormatting>
  <conditionalFormatting sqref="H78">
    <cfRule type="cellIs" operator="notEqual" dxfId="700" priority="165">
      <formula>Round(I78+Sum(K78:L78),0)</formula>
    </cfRule>
  </conditionalFormatting>
  <conditionalFormatting sqref="C79">
    <cfRule type="cellIs" operator="notEqual" dxfId="701" priority="166">
      <formula>Round(D79+Sum(F79:G79),0)</formula>
    </cfRule>
  </conditionalFormatting>
  <conditionalFormatting sqref="H79">
    <cfRule type="cellIs" operator="notEqual" dxfId="702" priority="167">
      <formula>Round(I79+Sum(K79:L79),0)</formula>
    </cfRule>
  </conditionalFormatting>
  <conditionalFormatting sqref="C80">
    <cfRule type="cellIs" operator="notEqual" dxfId="703" priority="168">
      <formula>Round(D80+Sum(F80:G80),0)</formula>
    </cfRule>
  </conditionalFormatting>
  <conditionalFormatting sqref="H80">
    <cfRule type="cellIs" operator="notEqual" dxfId="704" priority="169">
      <formula>Round(I80+Sum(K80:L80),0)</formula>
    </cfRule>
  </conditionalFormatting>
  <conditionalFormatting sqref="C81">
    <cfRule type="cellIs" operator="notEqual" dxfId="705" priority="170">
      <formula>Round(D81+Sum(F81:G81),0)</formula>
    </cfRule>
  </conditionalFormatting>
  <conditionalFormatting sqref="H81">
    <cfRule type="cellIs" operator="notEqual" dxfId="706" priority="171">
      <formula>Round(I81+Sum(K81:L81),0)</formula>
    </cfRule>
  </conditionalFormatting>
  <conditionalFormatting sqref="C82">
    <cfRule type="cellIs" operator="notEqual" dxfId="707" priority="172">
      <formula>Round(D82+Sum(F82:G82),0)</formula>
    </cfRule>
  </conditionalFormatting>
  <conditionalFormatting sqref="H82">
    <cfRule type="cellIs" operator="notEqual" dxfId="708" priority="173">
      <formula>Round(I82+Sum(K82:L82),0)</formula>
    </cfRule>
  </conditionalFormatting>
  <conditionalFormatting sqref="C83">
    <cfRule type="cellIs" operator="notEqual" dxfId="709" priority="174">
      <formula>Round(D83+Sum(F83:G83),0)</formula>
    </cfRule>
  </conditionalFormatting>
  <conditionalFormatting sqref="H83">
    <cfRule type="cellIs" operator="notEqual" dxfId="710" priority="175">
      <formula>Round(I83+Sum(K83:L83),0)</formula>
    </cfRule>
  </conditionalFormatting>
  <conditionalFormatting sqref="C84">
    <cfRule type="cellIs" operator="notEqual" dxfId="711" priority="176">
      <formula>Round(D84+Sum(F84:G84),0)</formula>
    </cfRule>
  </conditionalFormatting>
  <conditionalFormatting sqref="H84">
    <cfRule type="cellIs" operator="notEqual" dxfId="712" priority="177">
      <formula>Round(I84+Sum(K84:L84),0)</formula>
    </cfRule>
  </conditionalFormatting>
  <conditionalFormatting sqref="C85">
    <cfRule type="cellIs" operator="notEqual" dxfId="713" priority="178">
      <formula>Round(D85+Sum(F85:G85),0)</formula>
    </cfRule>
  </conditionalFormatting>
  <conditionalFormatting sqref="H85">
    <cfRule type="cellIs" operator="notEqual" dxfId="714" priority="179">
      <formula>Round(I85+Sum(K85:L85),0)</formula>
    </cfRule>
  </conditionalFormatting>
  <conditionalFormatting sqref="C86">
    <cfRule type="cellIs" operator="notEqual" dxfId="715" priority="180">
      <formula>Round(D86+Sum(F86:G86),0)</formula>
    </cfRule>
  </conditionalFormatting>
  <conditionalFormatting sqref="H86">
    <cfRule type="cellIs" operator="notEqual" dxfId="716" priority="181">
      <formula>Round(I86+Sum(K86:L86),0)</formula>
    </cfRule>
  </conditionalFormatting>
  <conditionalFormatting sqref="C87">
    <cfRule type="cellIs" operator="notEqual" dxfId="717" priority="182">
      <formula>Round(D87+Sum(F87:G87),0)</formula>
    </cfRule>
  </conditionalFormatting>
  <conditionalFormatting sqref="H87">
    <cfRule type="cellIs" operator="notEqual" dxfId="718" priority="183">
      <formula>Round(I87+Sum(K87:L87),0)</formula>
    </cfRule>
  </conditionalFormatting>
  <conditionalFormatting sqref="C88">
    <cfRule type="cellIs" operator="notEqual" dxfId="719" priority="184">
      <formula>Round(D88+Sum(F88:G88),0)</formula>
    </cfRule>
  </conditionalFormatting>
  <conditionalFormatting sqref="H88">
    <cfRule type="cellIs" operator="notEqual" dxfId="720" priority="185">
      <formula>Round(I88+Sum(K88:L88),0)</formula>
    </cfRule>
  </conditionalFormatting>
  <conditionalFormatting sqref="C89">
    <cfRule type="cellIs" operator="notEqual" dxfId="721" priority="186">
      <formula>Round(D89+Sum(F89:G89),0)</formula>
    </cfRule>
  </conditionalFormatting>
  <conditionalFormatting sqref="H89">
    <cfRule type="cellIs" operator="notEqual" dxfId="722" priority="187">
      <formula>Round(I89+Sum(K89:L89),0)</formula>
    </cfRule>
  </conditionalFormatting>
  <conditionalFormatting sqref="C90">
    <cfRule type="cellIs" operator="notEqual" dxfId="723" priority="188">
      <formula>Round(D90+Sum(F90:G90),0)</formula>
    </cfRule>
  </conditionalFormatting>
  <conditionalFormatting sqref="H90">
    <cfRule type="cellIs" operator="notEqual" dxfId="724" priority="189">
      <formula>Round(I90+Sum(K90:L90),0)</formula>
    </cfRule>
  </conditionalFormatting>
  <conditionalFormatting sqref="C91">
    <cfRule type="cellIs" operator="notEqual" dxfId="725" priority="190">
      <formula>Round(D91+Sum(F91:G91),0)</formula>
    </cfRule>
  </conditionalFormatting>
  <conditionalFormatting sqref="H91">
    <cfRule type="cellIs" operator="notEqual" dxfId="726" priority="191">
      <formula>Round(I91+Sum(K91:L91),0)</formula>
    </cfRule>
  </conditionalFormatting>
  <conditionalFormatting sqref="C92">
    <cfRule type="cellIs" operator="notEqual" dxfId="727" priority="192">
      <formula>Round(D92+Sum(F92:G92),0)</formula>
    </cfRule>
  </conditionalFormatting>
  <conditionalFormatting sqref="H92">
    <cfRule type="cellIs" operator="notEqual" dxfId="728" priority="193">
      <formula>Round(I92+Sum(K92:L92),0)</formula>
    </cfRule>
  </conditionalFormatting>
  <conditionalFormatting sqref="C93">
    <cfRule type="cellIs" operator="notEqual" dxfId="729" priority="194">
      <formula>Round(D93+Sum(F93:G93),0)</formula>
    </cfRule>
  </conditionalFormatting>
  <conditionalFormatting sqref="H93">
    <cfRule type="cellIs" operator="notEqual" dxfId="730" priority="195">
      <formula>Round(I93+Sum(K93:L93),0)</formula>
    </cfRule>
  </conditionalFormatting>
  <conditionalFormatting sqref="C94">
    <cfRule type="cellIs" operator="notEqual" dxfId="731" priority="196">
      <formula>Round(D94+Sum(F94:G94),0)</formula>
    </cfRule>
  </conditionalFormatting>
  <conditionalFormatting sqref="H94">
    <cfRule type="cellIs" operator="notEqual" dxfId="732" priority="197">
      <formula>Round(I94+Sum(K94:L94),0)</formula>
    </cfRule>
  </conditionalFormatting>
  <conditionalFormatting sqref="C95">
    <cfRule type="cellIs" operator="notEqual" dxfId="733" priority="198">
      <formula>Round(D95+Sum(F95:G95),0)</formula>
    </cfRule>
  </conditionalFormatting>
  <conditionalFormatting sqref="H95">
    <cfRule type="cellIs" operator="notEqual" dxfId="734" priority="199">
      <formula>Round(I95+Sum(K95:L95),0)</formula>
    </cfRule>
  </conditionalFormatting>
  <conditionalFormatting sqref="C96">
    <cfRule type="cellIs" operator="notEqual" dxfId="735" priority="200">
      <formula>Round(D96+Sum(F96:G96),0)</formula>
    </cfRule>
  </conditionalFormatting>
  <conditionalFormatting sqref="H96">
    <cfRule type="cellIs" operator="notEqual" dxfId="736" priority="201">
      <formula>Round(I96+Sum(K96:L96),0)</formula>
    </cfRule>
  </conditionalFormatting>
  <conditionalFormatting sqref="C97">
    <cfRule type="cellIs" operator="notEqual" dxfId="737" priority="202">
      <formula>Round(D97+Sum(F97:G97),0)</formula>
    </cfRule>
  </conditionalFormatting>
  <conditionalFormatting sqref="H97">
    <cfRule type="cellIs" operator="notEqual" dxfId="738" priority="203">
      <formula>Round(I97+Sum(K97:L97),0)</formula>
    </cfRule>
  </conditionalFormatting>
  <conditionalFormatting sqref="C98">
    <cfRule type="cellIs" operator="notEqual" dxfId="739" priority="204">
      <formula>Round(D98+Sum(F98:G98),0)</formula>
    </cfRule>
  </conditionalFormatting>
  <conditionalFormatting sqref="H98">
    <cfRule type="cellIs" operator="notEqual" dxfId="740" priority="205">
      <formula>Round(I98+Sum(K98:L98),0)</formula>
    </cfRule>
  </conditionalFormatting>
  <conditionalFormatting sqref="C99">
    <cfRule type="cellIs" operator="notEqual" dxfId="741" priority="206">
      <formula>Round(D99+Sum(F99:G99),0)</formula>
    </cfRule>
  </conditionalFormatting>
  <conditionalFormatting sqref="H99">
    <cfRule type="cellIs" operator="notEqual" dxfId="742" priority="207">
      <formula>Round(I99+Sum(K99:L99),0)</formula>
    </cfRule>
  </conditionalFormatting>
  <conditionalFormatting sqref="C100">
    <cfRule type="cellIs" operator="notEqual" dxfId="743" priority="208">
      <formula>Round(D100+Sum(F100:G100),0)</formula>
    </cfRule>
  </conditionalFormatting>
  <conditionalFormatting sqref="H100">
    <cfRule type="cellIs" operator="notEqual" dxfId="744" priority="209">
      <formula>Round(I100+Sum(K100:L100),0)</formula>
    </cfRule>
  </conditionalFormatting>
  <conditionalFormatting sqref="C101">
    <cfRule type="cellIs" operator="notEqual" dxfId="745" priority="210">
      <formula>Round(D101+Sum(F101:G101),0)</formula>
    </cfRule>
  </conditionalFormatting>
  <conditionalFormatting sqref="H101">
    <cfRule type="cellIs" operator="notEqual" dxfId="746" priority="211">
      <formula>Round(I101+Sum(K101:L101),0)</formula>
    </cfRule>
  </conditionalFormatting>
  <conditionalFormatting sqref="C102">
    <cfRule type="cellIs" operator="notEqual" dxfId="747" priority="212">
      <formula>Round(D102+Sum(F102:G102),0)</formula>
    </cfRule>
  </conditionalFormatting>
  <conditionalFormatting sqref="H102">
    <cfRule type="cellIs" operator="notEqual" dxfId="748" priority="213">
      <formula>Round(I102+Sum(K102:L102),0)</formula>
    </cfRule>
  </conditionalFormatting>
  <conditionalFormatting sqref="C103">
    <cfRule type="cellIs" operator="notEqual" dxfId="749" priority="214">
      <formula>Round(D103+Sum(F103:G103),0)</formula>
    </cfRule>
  </conditionalFormatting>
  <conditionalFormatting sqref="H103">
    <cfRule type="cellIs" operator="notEqual" dxfId="750" priority="215">
      <formula>Round(I103+Sum(K103:L103),0)</formula>
    </cfRule>
  </conditionalFormatting>
  <conditionalFormatting sqref="C104">
    <cfRule type="cellIs" operator="notEqual" dxfId="751" priority="216">
      <formula>Round(D104+Sum(F104:G104),0)</formula>
    </cfRule>
  </conditionalFormatting>
  <conditionalFormatting sqref="H104">
    <cfRule type="cellIs" operator="notEqual" dxfId="752" priority="217">
      <formula>Round(I104+Sum(K104:L104),0)</formula>
    </cfRule>
  </conditionalFormatting>
  <conditionalFormatting sqref="C105">
    <cfRule type="cellIs" operator="notEqual" dxfId="753" priority="218">
      <formula>Round(D105+Sum(F105:G105),0)</formula>
    </cfRule>
  </conditionalFormatting>
  <conditionalFormatting sqref="H105">
    <cfRule type="cellIs" operator="notEqual" dxfId="754" priority="219">
      <formula>Round(I105+Sum(K105:L105),0)</formula>
    </cfRule>
  </conditionalFormatting>
  <conditionalFormatting sqref="C106">
    <cfRule type="cellIs" operator="notEqual" dxfId="755" priority="220">
      <formula>Round(D106+Sum(F106:G106),0)</formula>
    </cfRule>
  </conditionalFormatting>
  <conditionalFormatting sqref="H106">
    <cfRule type="cellIs" operator="notEqual" dxfId="756" priority="221">
      <formula>Round(I106+Sum(K106:L106),0)</formula>
    </cfRule>
  </conditionalFormatting>
  <conditionalFormatting sqref="C107">
    <cfRule type="cellIs" operator="notEqual" dxfId="757" priority="222">
      <formula>Round(D107+Sum(F107:G107),0)</formula>
    </cfRule>
  </conditionalFormatting>
  <conditionalFormatting sqref="H107">
    <cfRule type="cellIs" operator="notEqual" dxfId="758" priority="223">
      <formula>Round(I107+Sum(K107:L107),0)</formula>
    </cfRule>
  </conditionalFormatting>
  <conditionalFormatting sqref="C108">
    <cfRule type="cellIs" operator="notEqual" dxfId="759" priority="224">
      <formula>Round(D108+Sum(F108:G108),0)</formula>
    </cfRule>
  </conditionalFormatting>
  <conditionalFormatting sqref="H108">
    <cfRule type="cellIs" operator="notEqual" dxfId="760" priority="225">
      <formula>Round(I108+Sum(K108:L108),0)</formula>
    </cfRule>
  </conditionalFormatting>
  <conditionalFormatting sqref="C109">
    <cfRule type="cellIs" operator="notEqual" dxfId="761" priority="226">
      <formula>Round(D109+Sum(F109:G109),0)</formula>
    </cfRule>
  </conditionalFormatting>
  <conditionalFormatting sqref="H109">
    <cfRule type="cellIs" operator="notEqual" dxfId="762" priority="227">
      <formula>Round(I109+Sum(K109:L109),0)</formula>
    </cfRule>
  </conditionalFormatting>
  <conditionalFormatting sqref="C110">
    <cfRule type="cellIs" operator="notEqual" dxfId="763" priority="228">
      <formula>Round(D110+Sum(F110:G110),0)</formula>
    </cfRule>
  </conditionalFormatting>
  <conditionalFormatting sqref="H110">
    <cfRule type="cellIs" operator="notEqual" dxfId="764" priority="229">
      <formula>Round(I110+Sum(K110:L110),0)</formula>
    </cfRule>
  </conditionalFormatting>
  <conditionalFormatting sqref="C111">
    <cfRule type="cellIs" operator="notEqual" dxfId="765" priority="230">
      <formula>Round(D111+Sum(F111:G111),0)</formula>
    </cfRule>
  </conditionalFormatting>
  <conditionalFormatting sqref="H111">
    <cfRule type="cellIs" operator="notEqual" dxfId="766" priority="231">
      <formula>Round(I111+Sum(K111:L111),0)</formula>
    </cfRule>
  </conditionalFormatting>
  <conditionalFormatting sqref="C112">
    <cfRule type="cellIs" operator="notEqual" dxfId="767" priority="232">
      <formula>Round(D112+Sum(F112:G112),0)</formula>
    </cfRule>
  </conditionalFormatting>
  <conditionalFormatting sqref="H112">
    <cfRule type="cellIs" operator="notEqual" dxfId="768" priority="233">
      <formula>Round(I112+Sum(K112:L112),0)</formula>
    </cfRule>
  </conditionalFormatting>
  <conditionalFormatting sqref="C113">
    <cfRule type="cellIs" operator="notEqual" dxfId="769" priority="234">
      <formula>Round(D113+Sum(F113:G113),0)</formula>
    </cfRule>
  </conditionalFormatting>
  <conditionalFormatting sqref="H113">
    <cfRule type="cellIs" operator="notEqual" dxfId="770" priority="235">
      <formula>Round(I113+Sum(K113:L113),0)</formula>
    </cfRule>
  </conditionalFormatting>
  <conditionalFormatting sqref="C114">
    <cfRule type="cellIs" operator="notEqual" dxfId="771" priority="236">
      <formula>Round(D114+Sum(F114:G114),0)</formula>
    </cfRule>
  </conditionalFormatting>
  <conditionalFormatting sqref="H114">
    <cfRule type="cellIs" operator="notEqual" dxfId="772" priority="237">
      <formula>Round(I114+Sum(K114:L114),0)</formula>
    </cfRule>
  </conditionalFormatting>
  <conditionalFormatting sqref="C115">
    <cfRule type="cellIs" operator="notEqual" dxfId="773" priority="238">
      <formula>Round(D115+Sum(F115:G115),0)</formula>
    </cfRule>
  </conditionalFormatting>
  <conditionalFormatting sqref="H115">
    <cfRule type="cellIs" operator="notEqual" dxfId="774" priority="239">
      <formula>Round(I115+Sum(K115:L115),0)</formula>
    </cfRule>
  </conditionalFormatting>
  <conditionalFormatting sqref="C116">
    <cfRule type="cellIs" operator="notEqual" dxfId="775" priority="240">
      <formula>Round(D116+Sum(F116:G116),0)</formula>
    </cfRule>
  </conditionalFormatting>
  <conditionalFormatting sqref="H116">
    <cfRule type="cellIs" operator="notEqual" dxfId="776" priority="241">
      <formula>Round(I116+Sum(K116:L116),0)</formula>
    </cfRule>
  </conditionalFormatting>
  <conditionalFormatting sqref="C117">
    <cfRule type="cellIs" operator="notEqual" dxfId="777" priority="242">
      <formula>Round(D117+Sum(F117:G117),0)</formula>
    </cfRule>
  </conditionalFormatting>
  <conditionalFormatting sqref="H117">
    <cfRule type="cellIs" operator="notEqual" dxfId="778" priority="243">
      <formula>Round(I117+Sum(K117:L117),0)</formula>
    </cfRule>
  </conditionalFormatting>
  <conditionalFormatting sqref="C118">
    <cfRule type="cellIs" operator="notEqual" dxfId="779" priority="244">
      <formula>Round(D118+Sum(F118:G118),0)</formula>
    </cfRule>
  </conditionalFormatting>
  <conditionalFormatting sqref="H118">
    <cfRule type="cellIs" operator="notEqual" dxfId="780" priority="245">
      <formula>Round(I118+Sum(K118:L118),0)</formula>
    </cfRule>
  </conditionalFormatting>
  <conditionalFormatting sqref="C119">
    <cfRule type="cellIs" operator="notEqual" dxfId="781" priority="246">
      <formula>Round(D119+Sum(F119:G119),0)</formula>
    </cfRule>
  </conditionalFormatting>
  <conditionalFormatting sqref="H119">
    <cfRule type="cellIs" operator="notEqual" dxfId="782" priority="247">
      <formula>Round(I119+Sum(K119:L119),0)</formula>
    </cfRule>
  </conditionalFormatting>
  <conditionalFormatting sqref="C120">
    <cfRule type="cellIs" operator="notEqual" dxfId="783" priority="248">
      <formula>Round(D120+Sum(F120:G120),0)</formula>
    </cfRule>
  </conditionalFormatting>
  <conditionalFormatting sqref="H120">
    <cfRule type="cellIs" operator="notEqual" dxfId="784" priority="249">
      <formula>Round(I120+Sum(K120:L120),0)</formula>
    </cfRule>
  </conditionalFormatting>
  <conditionalFormatting sqref="C121">
    <cfRule type="cellIs" operator="notEqual" dxfId="785" priority="250">
      <formula>Round(D121+Sum(F121:G121),0)</formula>
    </cfRule>
  </conditionalFormatting>
  <conditionalFormatting sqref="H121">
    <cfRule type="cellIs" operator="notEqual" dxfId="786" priority="251">
      <formula>Round(I121+Sum(K121:L121),0)</formula>
    </cfRule>
  </conditionalFormatting>
  <conditionalFormatting sqref="C122">
    <cfRule type="cellIs" operator="notEqual" dxfId="787" priority="252">
      <formula>Round(D122+Sum(F122:G122),0)</formula>
    </cfRule>
  </conditionalFormatting>
  <conditionalFormatting sqref="H122">
    <cfRule type="cellIs" operator="notEqual" dxfId="788" priority="253">
      <formula>Round(I122+Sum(K122:L122),0)</formula>
    </cfRule>
  </conditionalFormatting>
  <conditionalFormatting sqref="C123">
    <cfRule type="cellIs" operator="notEqual" dxfId="789" priority="254">
      <formula>Round(D123+Sum(F123:G123),0)</formula>
    </cfRule>
  </conditionalFormatting>
  <conditionalFormatting sqref="H123">
    <cfRule type="cellIs" operator="notEqual" dxfId="790" priority="255">
      <formula>Round(I123+Sum(K123:L123),0)</formula>
    </cfRule>
  </conditionalFormatting>
  <conditionalFormatting sqref="C124">
    <cfRule type="cellIs" operator="notEqual" dxfId="791" priority="256">
      <formula>Round(D124+Sum(F124:G124),0)</formula>
    </cfRule>
  </conditionalFormatting>
  <conditionalFormatting sqref="H124">
    <cfRule type="cellIs" operator="notEqual" dxfId="792" priority="257">
      <formula>Round(I124+Sum(K124:L124),0)</formula>
    </cfRule>
  </conditionalFormatting>
  <conditionalFormatting sqref="C125">
    <cfRule type="cellIs" operator="notEqual" dxfId="793" priority="258">
      <formula>Round(D125+Sum(F125:G125),0)</formula>
    </cfRule>
  </conditionalFormatting>
  <conditionalFormatting sqref="H125">
    <cfRule type="cellIs" operator="notEqual" dxfId="794" priority="259">
      <formula>Round(I125+Sum(K125:L125),0)</formula>
    </cfRule>
  </conditionalFormatting>
  <conditionalFormatting sqref="C126">
    <cfRule type="cellIs" operator="notEqual" dxfId="795" priority="260">
      <formula>Round(D126+Sum(F126:G126),0)</formula>
    </cfRule>
  </conditionalFormatting>
  <conditionalFormatting sqref="H126">
    <cfRule type="cellIs" operator="notEqual" dxfId="796" priority="261">
      <formula>Round(I126+Sum(K126:L126),0)</formula>
    </cfRule>
  </conditionalFormatting>
  <conditionalFormatting sqref="C127">
    <cfRule type="cellIs" operator="notEqual" dxfId="797" priority="262">
      <formula>Round(D127+Sum(F127:G127),0)</formula>
    </cfRule>
  </conditionalFormatting>
  <conditionalFormatting sqref="H127">
    <cfRule type="cellIs" operator="notEqual" dxfId="798" priority="263">
      <formula>Round(I127+Sum(K127:L127),0)</formula>
    </cfRule>
  </conditionalFormatting>
  <conditionalFormatting sqref="C128">
    <cfRule type="cellIs" operator="notEqual" dxfId="799" priority="264">
      <formula>Round(D128+Sum(F128:G128),0)</formula>
    </cfRule>
  </conditionalFormatting>
  <conditionalFormatting sqref="H128">
    <cfRule type="cellIs" operator="notEqual" dxfId="800" priority="265">
      <formula>Round(I128+Sum(K128:L128),0)</formula>
    </cfRule>
  </conditionalFormatting>
  <conditionalFormatting sqref="C129">
    <cfRule type="cellIs" operator="notEqual" dxfId="801" priority="266">
      <formula>Round(D129+Sum(F129:G129),0)</formula>
    </cfRule>
  </conditionalFormatting>
  <conditionalFormatting sqref="H129">
    <cfRule type="cellIs" operator="notEqual" dxfId="802" priority="267">
      <formula>Round(I129+Sum(K129:L129),0)</formula>
    </cfRule>
  </conditionalFormatting>
  <conditionalFormatting sqref="C130">
    <cfRule type="cellIs" operator="notEqual" dxfId="803" priority="268">
      <formula>Round(D130+Sum(F130:G130),0)</formula>
    </cfRule>
  </conditionalFormatting>
  <conditionalFormatting sqref="H130">
    <cfRule type="cellIs" operator="notEqual" dxfId="804" priority="269">
      <formula>Round(I130+Sum(K130:L130),0)</formula>
    </cfRule>
  </conditionalFormatting>
  <conditionalFormatting sqref="C131">
    <cfRule type="cellIs" operator="notEqual" dxfId="805" priority="270">
      <formula>Round(D131+Sum(F131:G131),0)</formula>
    </cfRule>
  </conditionalFormatting>
  <conditionalFormatting sqref="H131">
    <cfRule type="cellIs" operator="notEqual" dxfId="806" priority="271">
      <formula>Round(I131+Sum(K131:L131),0)</formula>
    </cfRule>
  </conditionalFormatting>
  <conditionalFormatting sqref="C132">
    <cfRule type="cellIs" operator="notEqual" dxfId="807" priority="272">
      <formula>Round(D132+Sum(F132:G132),0)</formula>
    </cfRule>
  </conditionalFormatting>
  <conditionalFormatting sqref="H132">
    <cfRule type="cellIs" operator="notEqual" dxfId="808" priority="273">
      <formula>Round(I132+Sum(K132:L132),0)</formula>
    </cfRule>
  </conditionalFormatting>
  <conditionalFormatting sqref="C133">
    <cfRule type="cellIs" operator="notEqual" dxfId="809" priority="274">
      <formula>Round(D133+Sum(F133:G133),0)</formula>
    </cfRule>
  </conditionalFormatting>
  <conditionalFormatting sqref="H133">
    <cfRule type="cellIs" operator="notEqual" dxfId="810" priority="275">
      <formula>Round(I133+Sum(K133:L133),0)</formula>
    </cfRule>
  </conditionalFormatting>
  <conditionalFormatting sqref="C134">
    <cfRule type="cellIs" operator="notEqual" dxfId="811" priority="276">
      <formula>Round(D134+Sum(F134:G134),0)</formula>
    </cfRule>
  </conditionalFormatting>
  <conditionalFormatting sqref="H134">
    <cfRule type="cellIs" operator="notEqual" dxfId="812" priority="277">
      <formula>Round(I134+Sum(K134:L134),0)</formula>
    </cfRule>
  </conditionalFormatting>
  <conditionalFormatting sqref="C135">
    <cfRule type="cellIs" operator="notEqual" dxfId="813" priority="278">
      <formula>Round(D135+Sum(F135:G135),0)</formula>
    </cfRule>
  </conditionalFormatting>
  <conditionalFormatting sqref="H135">
    <cfRule type="cellIs" operator="notEqual" dxfId="814" priority="279">
      <formula>Round(I135+Sum(K135:L135),0)</formula>
    </cfRule>
  </conditionalFormatting>
  <conditionalFormatting sqref="C136">
    <cfRule type="cellIs" operator="notEqual" dxfId="815" priority="280">
      <formula>Round(D136+Sum(F136:G136),0)</formula>
    </cfRule>
  </conditionalFormatting>
  <conditionalFormatting sqref="H136">
    <cfRule type="cellIs" operator="notEqual" dxfId="816" priority="281">
      <formula>Round(I136+Sum(K136:L136),0)</formula>
    </cfRule>
  </conditionalFormatting>
  <conditionalFormatting sqref="C137">
    <cfRule type="cellIs" operator="notEqual" dxfId="817" priority="282">
      <formula>Round(D137+Sum(F137:G137),0)</formula>
    </cfRule>
  </conditionalFormatting>
  <conditionalFormatting sqref="H137">
    <cfRule type="cellIs" operator="notEqual" dxfId="818" priority="283">
      <formula>Round(I137+Sum(K137:L137),0)</formula>
    </cfRule>
  </conditionalFormatting>
  <conditionalFormatting sqref="C138">
    <cfRule type="cellIs" operator="notEqual" dxfId="819" priority="284">
      <formula>Round(D138+Sum(F138:G138),0)</formula>
    </cfRule>
  </conditionalFormatting>
  <conditionalFormatting sqref="H138">
    <cfRule type="cellIs" operator="notEqual" dxfId="820" priority="285">
      <formula>Round(I138+Sum(K138:L138),0)</formula>
    </cfRule>
  </conditionalFormatting>
  <conditionalFormatting sqref="C139">
    <cfRule type="cellIs" operator="notEqual" dxfId="821" priority="286">
      <formula>Round(D139+Sum(F139:G139),0)</formula>
    </cfRule>
  </conditionalFormatting>
  <conditionalFormatting sqref="H139">
    <cfRule type="cellIs" operator="notEqual" dxfId="822" priority="287">
      <formula>Round(I139+Sum(K139:L139),0)</formula>
    </cfRule>
  </conditionalFormatting>
  <conditionalFormatting sqref="C140">
    <cfRule type="cellIs" operator="notEqual" dxfId="823" priority="288">
      <formula>Round(D140+Sum(F140:G140),0)</formula>
    </cfRule>
  </conditionalFormatting>
  <conditionalFormatting sqref="H140">
    <cfRule type="cellIs" operator="notEqual" dxfId="824" priority="289">
      <formula>Round(I140+Sum(K140:L140),0)</formula>
    </cfRule>
  </conditionalFormatting>
  <conditionalFormatting sqref="C141">
    <cfRule type="cellIs" operator="notEqual" dxfId="825" priority="290">
      <formula>Round(D141+Sum(F141:G141),0)</formula>
    </cfRule>
  </conditionalFormatting>
  <conditionalFormatting sqref="H141">
    <cfRule type="cellIs" operator="notEqual" dxfId="826" priority="291">
      <formula>Round(I141+Sum(K141:L141),0)</formula>
    </cfRule>
  </conditionalFormatting>
  <conditionalFormatting sqref="C142">
    <cfRule type="cellIs" operator="notEqual" dxfId="827" priority="292">
      <formula>Round(D142+Sum(F142:G142),0)</formula>
    </cfRule>
  </conditionalFormatting>
  <conditionalFormatting sqref="H142">
    <cfRule type="cellIs" operator="notEqual" dxfId="828" priority="293">
      <formula>Round(I142+Sum(K142:L142),0)</formula>
    </cfRule>
  </conditionalFormatting>
  <conditionalFormatting sqref="C143">
    <cfRule type="cellIs" operator="notEqual" dxfId="829" priority="294">
      <formula>Round(D143+Sum(F143:G143),0)</formula>
    </cfRule>
  </conditionalFormatting>
  <conditionalFormatting sqref="H143">
    <cfRule type="cellIs" operator="notEqual" dxfId="830" priority="295">
      <formula>Round(I143+Sum(K143:L143),0)</formula>
    </cfRule>
  </conditionalFormatting>
  <conditionalFormatting sqref="C144">
    <cfRule type="cellIs" operator="notEqual" dxfId="831" priority="296">
      <formula>Round(D144+Sum(F144:G144),0)</formula>
    </cfRule>
  </conditionalFormatting>
  <conditionalFormatting sqref="H144">
    <cfRule type="cellIs" operator="notEqual" dxfId="832" priority="297">
      <formula>Round(I144+Sum(K144:L144),0)</formula>
    </cfRule>
  </conditionalFormatting>
  <conditionalFormatting sqref="C145">
    <cfRule type="cellIs" operator="notEqual" dxfId="833" priority="298">
      <formula>Round(D145+Sum(F145:G145),0)</formula>
    </cfRule>
  </conditionalFormatting>
  <conditionalFormatting sqref="H145">
    <cfRule type="cellIs" operator="notEqual" dxfId="834" priority="299">
      <formula>Round(I145+Sum(K145:L145),0)</formula>
    </cfRule>
  </conditionalFormatting>
  <conditionalFormatting sqref="C146">
    <cfRule type="cellIs" operator="notEqual" dxfId="835" priority="300">
      <formula>Round(D146+Sum(F146:G146),0)</formula>
    </cfRule>
  </conditionalFormatting>
  <conditionalFormatting sqref="H146">
    <cfRule type="cellIs" operator="notEqual" dxfId="836" priority="301">
      <formula>Round(I146+Sum(K146:L146),0)</formula>
    </cfRule>
  </conditionalFormatting>
  <conditionalFormatting sqref="C147">
    <cfRule type="cellIs" operator="notEqual" dxfId="837" priority="302">
      <formula>Round(D147+Sum(F147:G147),0)</formula>
    </cfRule>
  </conditionalFormatting>
  <conditionalFormatting sqref="H147">
    <cfRule type="cellIs" operator="notEqual" dxfId="838" priority="303">
      <formula>Round(I147+Sum(K147:L147),0)</formula>
    </cfRule>
  </conditionalFormatting>
  <conditionalFormatting sqref="C148">
    <cfRule type="cellIs" operator="notEqual" dxfId="839" priority="304">
      <formula>Round(D148+Sum(F148:G148),0)</formula>
    </cfRule>
  </conditionalFormatting>
  <conditionalFormatting sqref="H148">
    <cfRule type="cellIs" operator="notEqual" dxfId="840" priority="305">
      <formula>Round(I148+Sum(K148:L148),0)</formula>
    </cfRule>
  </conditionalFormatting>
  <conditionalFormatting sqref="C149">
    <cfRule type="cellIs" operator="notEqual" dxfId="841" priority="306">
      <formula>Round(D149+Sum(F149:G149),0)</formula>
    </cfRule>
  </conditionalFormatting>
  <conditionalFormatting sqref="H149">
    <cfRule type="cellIs" operator="notEqual" dxfId="842" priority="307">
      <formula>Round(I149+Sum(K149:L149),0)</formula>
    </cfRule>
  </conditionalFormatting>
  <conditionalFormatting sqref="C150">
    <cfRule type="cellIs" operator="notEqual" dxfId="843" priority="308">
      <formula>Round(D150+Sum(F150:G150),0)</formula>
    </cfRule>
  </conditionalFormatting>
  <conditionalFormatting sqref="H150">
    <cfRule type="cellIs" operator="notEqual" dxfId="844" priority="309">
      <formula>Round(I150+Sum(K150:L150),0)</formula>
    </cfRule>
  </conditionalFormatting>
  <conditionalFormatting sqref="C151">
    <cfRule type="cellIs" operator="notEqual" dxfId="845" priority="310">
      <formula>Round(D151+Sum(F151:G151),0)</formula>
    </cfRule>
  </conditionalFormatting>
  <conditionalFormatting sqref="H151">
    <cfRule type="cellIs" operator="notEqual" dxfId="846" priority="311">
      <formula>Round(I151+Sum(K151:L151),0)</formula>
    </cfRule>
  </conditionalFormatting>
  <conditionalFormatting sqref="C152">
    <cfRule type="cellIs" operator="notEqual" dxfId="847" priority="312">
      <formula>Round(D152+Sum(F152:G152),0)</formula>
    </cfRule>
  </conditionalFormatting>
  <conditionalFormatting sqref="H152">
    <cfRule type="cellIs" operator="notEqual" dxfId="848" priority="313">
      <formula>Round(I152+Sum(K152:L152),0)</formula>
    </cfRule>
  </conditionalFormatting>
  <conditionalFormatting sqref="C153">
    <cfRule type="cellIs" operator="notEqual" dxfId="849" priority="314">
      <formula>Round(D153+Sum(F153:G153),0)</formula>
    </cfRule>
  </conditionalFormatting>
  <conditionalFormatting sqref="H153">
    <cfRule type="cellIs" operator="notEqual" dxfId="850" priority="315">
      <formula>Round(I153+Sum(K153:L153),0)</formula>
    </cfRule>
  </conditionalFormatting>
  <conditionalFormatting sqref="C154">
    <cfRule type="cellIs" operator="notEqual" dxfId="851" priority="316">
      <formula>Round(D154+Sum(F154:G154),0)</formula>
    </cfRule>
  </conditionalFormatting>
  <conditionalFormatting sqref="H154">
    <cfRule type="cellIs" operator="notEqual" dxfId="852" priority="317">
      <formula>Round(I154+Sum(K154:L154),0)</formula>
    </cfRule>
  </conditionalFormatting>
  <conditionalFormatting sqref="C155">
    <cfRule type="cellIs" operator="notEqual" dxfId="853" priority="318">
      <formula>Round(D155+Sum(F155:G155),0)</formula>
    </cfRule>
  </conditionalFormatting>
  <conditionalFormatting sqref="H155">
    <cfRule type="cellIs" operator="notEqual" dxfId="854" priority="319">
      <formula>Round(I155+Sum(K155:L155),0)</formula>
    </cfRule>
  </conditionalFormatting>
  <conditionalFormatting sqref="C156">
    <cfRule type="cellIs" operator="notEqual" dxfId="855" priority="320">
      <formula>Round(D156+Sum(F156:G156),0)</formula>
    </cfRule>
  </conditionalFormatting>
  <conditionalFormatting sqref="H156">
    <cfRule type="cellIs" operator="notEqual" dxfId="856" priority="321">
      <formula>Round(I156+Sum(K156:L156),0)</formula>
    </cfRule>
  </conditionalFormatting>
  <conditionalFormatting sqref="C157">
    <cfRule type="cellIs" operator="notEqual" dxfId="857" priority="322">
      <formula>Round(D157+Sum(F157:G157),0)</formula>
    </cfRule>
  </conditionalFormatting>
  <conditionalFormatting sqref="H157">
    <cfRule type="cellIs" operator="notEqual" dxfId="858" priority="323">
      <formula>Round(I157+Sum(K157:L157),0)</formula>
    </cfRule>
  </conditionalFormatting>
  <conditionalFormatting sqref="C158">
    <cfRule type="cellIs" operator="notEqual" dxfId="859" priority="324">
      <formula>Round(D158+Sum(F158:G158),0)</formula>
    </cfRule>
  </conditionalFormatting>
  <conditionalFormatting sqref="H158">
    <cfRule type="cellIs" operator="notEqual" dxfId="860" priority="325">
      <formula>Round(I158+Sum(K158:L158),0)</formula>
    </cfRule>
  </conditionalFormatting>
  <conditionalFormatting sqref="C159">
    <cfRule type="cellIs" operator="notEqual" dxfId="861" priority="326">
      <formula>Round(D159+Sum(F159:G159),0)</formula>
    </cfRule>
  </conditionalFormatting>
  <conditionalFormatting sqref="H159">
    <cfRule type="cellIs" operator="notEqual" dxfId="862" priority="327">
      <formula>Round(I159+Sum(K159:L159),0)</formula>
    </cfRule>
  </conditionalFormatting>
  <conditionalFormatting sqref="C160">
    <cfRule type="cellIs" operator="notEqual" dxfId="863" priority="328">
      <formula>Round(D160+Sum(F160:G160),0)</formula>
    </cfRule>
  </conditionalFormatting>
  <conditionalFormatting sqref="H160">
    <cfRule type="cellIs" operator="notEqual" dxfId="864" priority="329">
      <formula>Round(I160+Sum(K160:L160),0)</formula>
    </cfRule>
  </conditionalFormatting>
  <conditionalFormatting sqref="C161">
    <cfRule type="cellIs" operator="notEqual" dxfId="865" priority="330">
      <formula>Round(D161+Sum(F161:G161),0)</formula>
    </cfRule>
  </conditionalFormatting>
  <conditionalFormatting sqref="H161">
    <cfRule type="cellIs" operator="notEqual" dxfId="866" priority="331">
      <formula>Round(I161+Sum(K161:L161),0)</formula>
    </cfRule>
  </conditionalFormatting>
  <conditionalFormatting sqref="C162">
    <cfRule type="cellIs" operator="notEqual" dxfId="867" priority="332">
      <formula>Round(D162+Sum(F162:G162),0)</formula>
    </cfRule>
  </conditionalFormatting>
  <conditionalFormatting sqref="H162">
    <cfRule type="cellIs" operator="notEqual" dxfId="868" priority="333">
      <formula>Round(I162+Sum(K162:L162),0)</formula>
    </cfRule>
  </conditionalFormatting>
  <conditionalFormatting sqref="C163">
    <cfRule type="cellIs" operator="notEqual" dxfId="869" priority="334">
      <formula>Round(D163+Sum(F163:G163),0)</formula>
    </cfRule>
  </conditionalFormatting>
  <conditionalFormatting sqref="H163">
    <cfRule type="cellIs" operator="notEqual" dxfId="870" priority="335">
      <formula>Round(I163+Sum(K163:L163),0)</formula>
    </cfRule>
  </conditionalFormatting>
  <conditionalFormatting sqref="C164">
    <cfRule type="cellIs" operator="notEqual" dxfId="871" priority="336">
      <formula>Round(D164+Sum(F164:G164),0)</formula>
    </cfRule>
  </conditionalFormatting>
  <conditionalFormatting sqref="H164">
    <cfRule type="cellIs" operator="notEqual" dxfId="872" priority="337">
      <formula>Round(I164+Sum(K164:L164),0)</formula>
    </cfRule>
  </conditionalFormatting>
  <conditionalFormatting sqref="C165">
    <cfRule type="cellIs" operator="notEqual" dxfId="873" priority="338">
      <formula>Round(D165+Sum(F165:G165),0)</formula>
    </cfRule>
  </conditionalFormatting>
  <conditionalFormatting sqref="H165">
    <cfRule type="cellIs" operator="notEqual" dxfId="874" priority="339">
      <formula>Round(I165+Sum(K165:L165),0)</formula>
    </cfRule>
  </conditionalFormatting>
  <conditionalFormatting sqref="C166">
    <cfRule type="cellIs" operator="notEqual" dxfId="875" priority="340">
      <formula>Round(D166+Sum(F166:G166),0)</formula>
    </cfRule>
  </conditionalFormatting>
  <conditionalFormatting sqref="H166">
    <cfRule type="cellIs" operator="notEqual" dxfId="876" priority="341">
      <formula>Round(I166+Sum(K166:L166),0)</formula>
    </cfRule>
  </conditionalFormatting>
  <conditionalFormatting sqref="C167">
    <cfRule type="cellIs" operator="notEqual" dxfId="877" priority="342">
      <formula>Round(D167+Sum(F167:G167),0)</formula>
    </cfRule>
  </conditionalFormatting>
  <conditionalFormatting sqref="H167">
    <cfRule type="cellIs" operator="notEqual" dxfId="878" priority="343">
      <formula>Round(I167+Sum(K167:L167),0)</formula>
    </cfRule>
  </conditionalFormatting>
  <conditionalFormatting sqref="C168">
    <cfRule type="cellIs" operator="notEqual" dxfId="879" priority="344">
      <formula>Round(D168+Sum(F168:G168),0)</formula>
    </cfRule>
  </conditionalFormatting>
  <conditionalFormatting sqref="H168">
    <cfRule type="cellIs" operator="notEqual" dxfId="880" priority="345">
      <formula>Round(I168+Sum(K168:L168),0)</formula>
    </cfRule>
  </conditionalFormatting>
  <conditionalFormatting sqref="C169">
    <cfRule type="cellIs" operator="notEqual" dxfId="881" priority="346">
      <formula>Round(D169+Sum(F169:G169),0)</formula>
    </cfRule>
  </conditionalFormatting>
  <conditionalFormatting sqref="H169">
    <cfRule type="cellIs" operator="notEqual" dxfId="882" priority="347">
      <formula>Round(I169+Sum(K169:L169),0)</formula>
    </cfRule>
  </conditionalFormatting>
  <conditionalFormatting sqref="C170">
    <cfRule type="cellIs" operator="notEqual" dxfId="883" priority="348">
      <formula>Round(D170+Sum(F170:G170),0)</formula>
    </cfRule>
  </conditionalFormatting>
  <conditionalFormatting sqref="H170">
    <cfRule type="cellIs" operator="notEqual" dxfId="884" priority="349">
      <formula>Round(I170+Sum(K170:L170),0)</formula>
    </cfRule>
  </conditionalFormatting>
  <conditionalFormatting sqref="C171">
    <cfRule type="cellIs" operator="notEqual" dxfId="885" priority="350">
      <formula>Round(D171+Sum(F171:G171),0)</formula>
    </cfRule>
  </conditionalFormatting>
  <conditionalFormatting sqref="H171">
    <cfRule type="cellIs" operator="notEqual" dxfId="886" priority="351">
      <formula>Round(I171+Sum(K171:L171),0)</formula>
    </cfRule>
  </conditionalFormatting>
  <conditionalFormatting sqref="C172">
    <cfRule type="cellIs" operator="notEqual" dxfId="887" priority="352">
      <formula>Round(D172+Sum(F172:G172),0)</formula>
    </cfRule>
  </conditionalFormatting>
  <conditionalFormatting sqref="H172">
    <cfRule type="cellIs" operator="notEqual" dxfId="888" priority="353">
      <formula>Round(I172+Sum(K172:L172),0)</formula>
    </cfRule>
  </conditionalFormatting>
  <conditionalFormatting sqref="C173">
    <cfRule type="cellIs" operator="notEqual" dxfId="889" priority="354">
      <formula>Round(D173+Sum(F173:G173),0)</formula>
    </cfRule>
  </conditionalFormatting>
  <conditionalFormatting sqref="H173">
    <cfRule type="cellIs" operator="notEqual" dxfId="890" priority="355">
      <formula>Round(I173+Sum(K173:L173),0)</formula>
    </cfRule>
  </conditionalFormatting>
  <conditionalFormatting sqref="C174">
    <cfRule type="cellIs" operator="notEqual" dxfId="891" priority="356">
      <formula>Round(D174+Sum(F174:G174),0)</formula>
    </cfRule>
  </conditionalFormatting>
  <conditionalFormatting sqref="H174">
    <cfRule type="cellIs" operator="notEqual" dxfId="892" priority="357">
      <formula>Round(I174+Sum(K174:L174),0)</formula>
    </cfRule>
  </conditionalFormatting>
  <conditionalFormatting sqref="C175">
    <cfRule type="cellIs" operator="notEqual" dxfId="893" priority="358">
      <formula>Round(D175+Sum(F175:G175),0)</formula>
    </cfRule>
  </conditionalFormatting>
  <conditionalFormatting sqref="H175">
    <cfRule type="cellIs" operator="notEqual" dxfId="894" priority="359">
      <formula>Round(I175+Sum(K175:L175),0)</formula>
    </cfRule>
  </conditionalFormatting>
  <conditionalFormatting sqref="C176">
    <cfRule type="cellIs" operator="notEqual" dxfId="895" priority="360">
      <formula>Round(D176+Sum(F176:G176),0)</formula>
    </cfRule>
  </conditionalFormatting>
  <conditionalFormatting sqref="H176">
    <cfRule type="cellIs" operator="notEqual" dxfId="896" priority="361">
      <formula>Round(I176+Sum(K176:L176),0)</formula>
    </cfRule>
  </conditionalFormatting>
  <conditionalFormatting sqref="C177">
    <cfRule type="cellIs" operator="notEqual" dxfId="897" priority="362">
      <formula>Round(D177+Sum(F177:G177),0)</formula>
    </cfRule>
  </conditionalFormatting>
  <conditionalFormatting sqref="H177">
    <cfRule type="cellIs" operator="notEqual" dxfId="898" priority="363">
      <formula>Round(I177+Sum(K177:L177),0)</formula>
    </cfRule>
  </conditionalFormatting>
  <conditionalFormatting sqref="C178">
    <cfRule type="cellIs" operator="notEqual" dxfId="899" priority="364">
      <formula>Round(D178+Sum(F178:G178),0)</formula>
    </cfRule>
  </conditionalFormatting>
  <conditionalFormatting sqref="H178">
    <cfRule type="cellIs" operator="notEqual" dxfId="900" priority="365">
      <formula>Round(I178+Sum(K178:L178),0)</formula>
    </cfRule>
  </conditionalFormatting>
  <conditionalFormatting sqref="C179">
    <cfRule type="cellIs" operator="notEqual" dxfId="901" priority="366">
      <formula>Round(D179+Sum(F179:G179),0)</formula>
    </cfRule>
  </conditionalFormatting>
  <conditionalFormatting sqref="H179">
    <cfRule type="cellIs" operator="notEqual" dxfId="902" priority="367">
      <formula>Round(I179+Sum(K179:L179),0)</formula>
    </cfRule>
  </conditionalFormatting>
  <conditionalFormatting sqref="C180">
    <cfRule type="cellIs" operator="notEqual" dxfId="903" priority="368">
      <formula>Round(D180+Sum(F180:G180),0)</formula>
    </cfRule>
  </conditionalFormatting>
  <conditionalFormatting sqref="H180">
    <cfRule type="cellIs" operator="notEqual" dxfId="904" priority="369">
      <formula>Round(I180+Sum(K180:L180),0)</formula>
    </cfRule>
  </conditionalFormatting>
  <conditionalFormatting sqref="C181">
    <cfRule type="cellIs" operator="notEqual" dxfId="905" priority="370">
      <formula>Round(D181+Sum(F181:G181),0)</formula>
    </cfRule>
  </conditionalFormatting>
  <conditionalFormatting sqref="H181">
    <cfRule type="cellIs" operator="notEqual" dxfId="906" priority="371">
      <formula>Round(I181+Sum(K181:L181),0)</formula>
    </cfRule>
  </conditionalFormatting>
  <conditionalFormatting sqref="C182">
    <cfRule type="cellIs" operator="notEqual" dxfId="907" priority="372">
      <formula>Round(D182+Sum(F182:G182),0)</formula>
    </cfRule>
  </conditionalFormatting>
  <conditionalFormatting sqref="H182">
    <cfRule type="cellIs" operator="notEqual" dxfId="908" priority="373">
      <formula>Round(I182+Sum(K182:L182),0)</formula>
    </cfRule>
  </conditionalFormatting>
  <conditionalFormatting sqref="C183">
    <cfRule type="cellIs" operator="notEqual" dxfId="909" priority="374">
      <formula>Round(D183+Sum(F183:G183),0)</formula>
    </cfRule>
  </conditionalFormatting>
  <conditionalFormatting sqref="H183">
    <cfRule type="cellIs" operator="notEqual" dxfId="910" priority="375">
      <formula>Round(I183+Sum(K183:L183),0)</formula>
    </cfRule>
  </conditionalFormatting>
  <conditionalFormatting sqref="C184">
    <cfRule type="cellIs" operator="notEqual" dxfId="911" priority="376">
      <formula>Round(D184+Sum(F184:G184),0)</formula>
    </cfRule>
  </conditionalFormatting>
  <conditionalFormatting sqref="H184">
    <cfRule type="cellIs" operator="notEqual" dxfId="912" priority="377">
      <formula>Round(I184+Sum(K184:L184),0)</formula>
    </cfRule>
  </conditionalFormatting>
  <conditionalFormatting sqref="C185">
    <cfRule type="cellIs" operator="notEqual" dxfId="913" priority="378">
      <formula>Round(D185+Sum(F185:G185),0)</formula>
    </cfRule>
  </conditionalFormatting>
  <conditionalFormatting sqref="H185">
    <cfRule type="cellIs" operator="notEqual" dxfId="914" priority="379">
      <formula>Round(I185+Sum(K185:L185),0)</formula>
    </cfRule>
  </conditionalFormatting>
  <conditionalFormatting sqref="C186">
    <cfRule type="cellIs" operator="notEqual" dxfId="915" priority="380">
      <formula>Round(D186+Sum(F186:G186),0)</formula>
    </cfRule>
  </conditionalFormatting>
  <conditionalFormatting sqref="H186">
    <cfRule type="cellIs" operator="notEqual" dxfId="916" priority="381">
      <formula>Round(I186+Sum(K186:L186),0)</formula>
    </cfRule>
  </conditionalFormatting>
  <conditionalFormatting sqref="C187">
    <cfRule type="cellIs" operator="notEqual" dxfId="917" priority="382">
      <formula>Round(D187+Sum(F187:G187),0)</formula>
    </cfRule>
  </conditionalFormatting>
  <conditionalFormatting sqref="H187">
    <cfRule type="cellIs" operator="notEqual" dxfId="918" priority="383">
      <formula>Round(I187+Sum(K187:L187),0)</formula>
    </cfRule>
  </conditionalFormatting>
  <conditionalFormatting sqref="C188">
    <cfRule type="cellIs" operator="notEqual" dxfId="919" priority="384">
      <formula>Round(D188+Sum(F188:G188),0)</formula>
    </cfRule>
  </conditionalFormatting>
  <conditionalFormatting sqref="H188">
    <cfRule type="cellIs" operator="notEqual" dxfId="920" priority="385">
      <formula>Round(I188+Sum(K188:L188),0)</formula>
    </cfRule>
  </conditionalFormatting>
  <conditionalFormatting sqref="C189">
    <cfRule type="cellIs" operator="notEqual" dxfId="921" priority="386">
      <formula>Round(D189+Sum(F189:G189),0)</formula>
    </cfRule>
  </conditionalFormatting>
  <conditionalFormatting sqref="H189">
    <cfRule type="cellIs" operator="notEqual" dxfId="922" priority="387">
      <formula>Round(I189+Sum(K189:L189),0)</formula>
    </cfRule>
  </conditionalFormatting>
  <conditionalFormatting sqref="C190">
    <cfRule type="cellIs" operator="notEqual" dxfId="923" priority="388">
      <formula>Round(D190+Sum(F190:G190),0)</formula>
    </cfRule>
  </conditionalFormatting>
  <conditionalFormatting sqref="H190">
    <cfRule type="cellIs" operator="notEqual" dxfId="924" priority="389">
      <formula>Round(I190+Sum(K190:L190),0)</formula>
    </cfRule>
  </conditionalFormatting>
  <conditionalFormatting sqref="C191">
    <cfRule type="cellIs" operator="notEqual" dxfId="925" priority="390">
      <formula>Round(D191+Sum(F191:G191),0)</formula>
    </cfRule>
  </conditionalFormatting>
  <conditionalFormatting sqref="H191">
    <cfRule type="cellIs" operator="notEqual" dxfId="926" priority="391">
      <formula>Round(I191+Sum(K191:L191),0)</formula>
    </cfRule>
  </conditionalFormatting>
  <conditionalFormatting sqref="C192">
    <cfRule type="cellIs" operator="notEqual" dxfId="927" priority="392">
      <formula>Round(D192+Sum(F192:G192),0)</formula>
    </cfRule>
  </conditionalFormatting>
  <conditionalFormatting sqref="H192">
    <cfRule type="cellIs" operator="notEqual" dxfId="928" priority="393">
      <formula>Round(I192+Sum(K192:L192),0)</formula>
    </cfRule>
  </conditionalFormatting>
  <conditionalFormatting sqref="C193">
    <cfRule type="cellIs" operator="notEqual" dxfId="929" priority="394">
      <formula>Round(D193+Sum(F193:G193),0)</formula>
    </cfRule>
  </conditionalFormatting>
  <conditionalFormatting sqref="H193">
    <cfRule type="cellIs" operator="notEqual" dxfId="930" priority="395">
      <formula>Round(I193+Sum(K193:L193),0)</formula>
    </cfRule>
  </conditionalFormatting>
  <conditionalFormatting sqref="C194">
    <cfRule type="cellIs" operator="notEqual" dxfId="931" priority="396">
      <formula>Round(D194+Sum(F194:G194),0)</formula>
    </cfRule>
  </conditionalFormatting>
  <conditionalFormatting sqref="H194">
    <cfRule type="cellIs" operator="notEqual" dxfId="932" priority="397">
      <formula>Round(I194+Sum(K194:L194),0)</formula>
    </cfRule>
  </conditionalFormatting>
  <conditionalFormatting sqref="C195">
    <cfRule type="cellIs" operator="notEqual" dxfId="933" priority="398">
      <formula>Round(D195+Sum(F195:G195),0)</formula>
    </cfRule>
  </conditionalFormatting>
  <conditionalFormatting sqref="H195">
    <cfRule type="cellIs" operator="notEqual" dxfId="934" priority="399">
      <formula>Round(I195+Sum(K195:L195),0)</formula>
    </cfRule>
  </conditionalFormatting>
  <conditionalFormatting sqref="C196">
    <cfRule type="cellIs" operator="notEqual" dxfId="935" priority="400">
      <formula>Round(D196+Sum(F196:G196),0)</formula>
    </cfRule>
  </conditionalFormatting>
  <conditionalFormatting sqref="H196">
    <cfRule type="cellIs" operator="notEqual" dxfId="936" priority="401">
      <formula>Round(I196+Sum(K196:L196),0)</formula>
    </cfRule>
  </conditionalFormatting>
  <conditionalFormatting sqref="C197">
    <cfRule type="cellIs" operator="notEqual" dxfId="937" priority="402">
      <formula>Round(D197+Sum(F197:G197),0)</formula>
    </cfRule>
  </conditionalFormatting>
  <conditionalFormatting sqref="H197">
    <cfRule type="cellIs" operator="notEqual" dxfId="938" priority="403">
      <formula>Round(I197+Sum(K197:L197),0)</formula>
    </cfRule>
  </conditionalFormatting>
  <conditionalFormatting sqref="C198">
    <cfRule type="cellIs" operator="notEqual" dxfId="939" priority="404">
      <formula>Round(D198+Sum(F198:G198),0)</formula>
    </cfRule>
  </conditionalFormatting>
  <conditionalFormatting sqref="H198">
    <cfRule type="cellIs" operator="notEqual" dxfId="940" priority="405">
      <formula>Round(I198+Sum(K198:L198),0)</formula>
    </cfRule>
  </conditionalFormatting>
  <conditionalFormatting sqref="C199">
    <cfRule type="cellIs" operator="notEqual" dxfId="941" priority="406">
      <formula>Round(D199+Sum(F199:G199),0)</formula>
    </cfRule>
  </conditionalFormatting>
  <conditionalFormatting sqref="H199">
    <cfRule type="cellIs" operator="notEqual" dxfId="942" priority="407">
      <formula>Round(I199+Sum(K199:L199),0)</formula>
    </cfRule>
  </conditionalFormatting>
  <conditionalFormatting sqref="C200">
    <cfRule type="cellIs" operator="notEqual" dxfId="943" priority="408">
      <formula>Round(D200+Sum(F200:G200),0)</formula>
    </cfRule>
  </conditionalFormatting>
  <conditionalFormatting sqref="H200">
    <cfRule type="cellIs" operator="notEqual" dxfId="944" priority="409">
      <formula>Round(I200+Sum(K200:L200),0)</formula>
    </cfRule>
  </conditionalFormatting>
  <conditionalFormatting sqref="C201">
    <cfRule type="cellIs" operator="notEqual" dxfId="945" priority="410">
      <formula>Round(D201+Sum(F201:G201),0)</formula>
    </cfRule>
  </conditionalFormatting>
  <conditionalFormatting sqref="H201">
    <cfRule type="cellIs" operator="notEqual" dxfId="946" priority="411">
      <formula>Round(I201+Sum(K201:L201),0)</formula>
    </cfRule>
  </conditionalFormatting>
  <conditionalFormatting sqref="C202">
    <cfRule type="cellIs" operator="notEqual" dxfId="947" priority="412">
      <formula>Round(D202+Sum(F202:G202),0)</formula>
    </cfRule>
  </conditionalFormatting>
  <conditionalFormatting sqref="H202">
    <cfRule type="cellIs" operator="notEqual" dxfId="948" priority="413">
      <formula>Round(I202+Sum(K202:L202),0)</formula>
    </cfRule>
  </conditionalFormatting>
  <conditionalFormatting sqref="C203">
    <cfRule type="cellIs" operator="notEqual" dxfId="949" priority="414">
      <formula>Round(D203+Sum(F203:G203),0)</formula>
    </cfRule>
  </conditionalFormatting>
  <conditionalFormatting sqref="H203">
    <cfRule type="cellIs" operator="notEqual" dxfId="950" priority="415">
      <formula>Round(I203+Sum(K203:L203),0)</formula>
    </cfRule>
  </conditionalFormatting>
  <conditionalFormatting sqref="C204">
    <cfRule type="cellIs" operator="notEqual" dxfId="951" priority="416">
      <formula>Round(D204+Sum(F204:G204),0)</formula>
    </cfRule>
  </conditionalFormatting>
  <conditionalFormatting sqref="H204">
    <cfRule type="cellIs" operator="notEqual" dxfId="952" priority="417">
      <formula>Round(I204+Sum(K204:L204),0)</formula>
    </cfRule>
  </conditionalFormatting>
  <conditionalFormatting sqref="C205">
    <cfRule type="cellIs" operator="notEqual" dxfId="953" priority="418">
      <formula>Round(D205+Sum(F205:G205),0)</formula>
    </cfRule>
  </conditionalFormatting>
  <conditionalFormatting sqref="H205">
    <cfRule type="cellIs" operator="notEqual" dxfId="954" priority="419">
      <formula>Round(I205+Sum(K205:L205),0)</formula>
    </cfRule>
  </conditionalFormatting>
  <conditionalFormatting sqref="C206">
    <cfRule type="cellIs" operator="notEqual" dxfId="955" priority="420">
      <formula>Round(D206+Sum(F206:G206),0)</formula>
    </cfRule>
  </conditionalFormatting>
  <conditionalFormatting sqref="H206">
    <cfRule type="cellIs" operator="notEqual" dxfId="956" priority="421">
      <formula>Round(I206+Sum(K206:L206),0)</formula>
    </cfRule>
  </conditionalFormatting>
  <conditionalFormatting sqref="C207">
    <cfRule type="cellIs" operator="notEqual" dxfId="957" priority="422">
      <formula>Round(D207+Sum(F207:G207),0)</formula>
    </cfRule>
  </conditionalFormatting>
  <conditionalFormatting sqref="H207">
    <cfRule type="cellIs" operator="notEqual" dxfId="958" priority="423">
      <formula>Round(I207+Sum(K207:L207),0)</formula>
    </cfRule>
  </conditionalFormatting>
  <conditionalFormatting sqref="C208">
    <cfRule type="cellIs" operator="notEqual" dxfId="959" priority="424">
      <formula>Round(D208+Sum(F208:G208),0)</formula>
    </cfRule>
  </conditionalFormatting>
  <conditionalFormatting sqref="H208">
    <cfRule type="cellIs" operator="notEqual" dxfId="960" priority="425">
      <formula>Round(I208+Sum(K208:L208),0)</formula>
    </cfRule>
  </conditionalFormatting>
  <conditionalFormatting sqref="C209">
    <cfRule type="cellIs" operator="notEqual" dxfId="961" priority="426">
      <formula>Round(D209+Sum(F209:G209),0)</formula>
    </cfRule>
  </conditionalFormatting>
  <conditionalFormatting sqref="H209">
    <cfRule type="cellIs" operator="notEqual" dxfId="962" priority="427">
      <formula>Round(I209+Sum(K209:L209),0)</formula>
    </cfRule>
  </conditionalFormatting>
  <conditionalFormatting sqref="C210">
    <cfRule type="cellIs" operator="notEqual" dxfId="963" priority="428">
      <formula>Round(D210+Sum(F210:G210),0)</formula>
    </cfRule>
  </conditionalFormatting>
  <conditionalFormatting sqref="H210">
    <cfRule type="cellIs" operator="notEqual" dxfId="964" priority="429">
      <formula>Round(I210+Sum(K210:L210),0)</formula>
    </cfRule>
  </conditionalFormatting>
  <conditionalFormatting sqref="C211">
    <cfRule type="cellIs" operator="notEqual" dxfId="965" priority="430">
      <formula>Round(D211+Sum(F211:G211),0)</formula>
    </cfRule>
  </conditionalFormatting>
  <conditionalFormatting sqref="H211">
    <cfRule type="cellIs" operator="notEqual" dxfId="966" priority="431">
      <formula>Round(I211+Sum(K211:L211),0)</formula>
    </cfRule>
  </conditionalFormatting>
  <conditionalFormatting sqref="C212">
    <cfRule type="cellIs" operator="notEqual" dxfId="967" priority="432">
      <formula>Round(D212+Sum(F212:G212),0)</formula>
    </cfRule>
  </conditionalFormatting>
  <conditionalFormatting sqref="H212">
    <cfRule type="cellIs" operator="notEqual" dxfId="968" priority="433">
      <formula>Round(I212+Sum(K212:L212),0)</formula>
    </cfRule>
  </conditionalFormatting>
  <conditionalFormatting sqref="C213">
    <cfRule type="cellIs" operator="notEqual" dxfId="969" priority="434">
      <formula>Round(D213+Sum(F213:G213),0)</formula>
    </cfRule>
  </conditionalFormatting>
  <conditionalFormatting sqref="H213">
    <cfRule type="cellIs" operator="notEqual" dxfId="970" priority="435">
      <formula>Round(I213+Sum(K213:L213),0)</formula>
    </cfRule>
  </conditionalFormatting>
  <conditionalFormatting sqref="C214">
    <cfRule type="cellIs" operator="notEqual" dxfId="971" priority="436">
      <formula>Round(D214+Sum(F214:G214),0)</formula>
    </cfRule>
  </conditionalFormatting>
  <conditionalFormatting sqref="H214">
    <cfRule type="cellIs" operator="notEqual" dxfId="972" priority="437">
      <formula>Round(I214+Sum(K214:L214),0)</formula>
    </cfRule>
  </conditionalFormatting>
  <conditionalFormatting sqref="C215">
    <cfRule type="cellIs" operator="notEqual" dxfId="973" priority="438">
      <formula>Round(D215+Sum(F215:G215),0)</formula>
    </cfRule>
  </conditionalFormatting>
  <conditionalFormatting sqref="H215">
    <cfRule type="cellIs" operator="notEqual" dxfId="974" priority="439">
      <formula>Round(I215+Sum(K215:L215),0)</formula>
    </cfRule>
  </conditionalFormatting>
  <conditionalFormatting sqref="C216">
    <cfRule type="cellIs" operator="notEqual" dxfId="975" priority="440">
      <formula>Round(D216+Sum(F216:G216),0)</formula>
    </cfRule>
  </conditionalFormatting>
  <conditionalFormatting sqref="H216">
    <cfRule type="cellIs" operator="notEqual" dxfId="976" priority="441">
      <formula>Round(I216+Sum(K216:L216),0)</formula>
    </cfRule>
  </conditionalFormatting>
  <conditionalFormatting sqref="C217">
    <cfRule type="cellIs" operator="notEqual" dxfId="977" priority="442">
      <formula>Round(D217+Sum(F217:G217),0)</formula>
    </cfRule>
  </conditionalFormatting>
  <conditionalFormatting sqref="H217">
    <cfRule type="cellIs" operator="notEqual" dxfId="978" priority="443">
      <formula>Round(I217+Sum(K217:L217),0)</formula>
    </cfRule>
  </conditionalFormatting>
  <conditionalFormatting sqref="C218">
    <cfRule type="cellIs" operator="notEqual" dxfId="979" priority="444">
      <formula>Round(D218+Sum(F218:G218),0)</formula>
    </cfRule>
  </conditionalFormatting>
  <conditionalFormatting sqref="H218">
    <cfRule type="cellIs" operator="notEqual" dxfId="980" priority="445">
      <formula>Round(I218+Sum(K218:L218),0)</formula>
    </cfRule>
  </conditionalFormatting>
  <conditionalFormatting sqref="C219">
    <cfRule type="cellIs" operator="notEqual" dxfId="981" priority="446">
      <formula>Round(D219+Sum(F219:G219),0)</formula>
    </cfRule>
  </conditionalFormatting>
  <conditionalFormatting sqref="H219">
    <cfRule type="cellIs" operator="notEqual" dxfId="982" priority="447">
      <formula>Round(I219+Sum(K219:L219),0)</formula>
    </cfRule>
  </conditionalFormatting>
  <conditionalFormatting sqref="C220">
    <cfRule type="cellIs" operator="notEqual" dxfId="983" priority="448">
      <formula>Round(D220+Sum(F220:G220),0)</formula>
    </cfRule>
  </conditionalFormatting>
  <conditionalFormatting sqref="H220">
    <cfRule type="cellIs" operator="notEqual" dxfId="984" priority="449">
      <formula>Round(I220+Sum(K220:L220),0)</formula>
    </cfRule>
  </conditionalFormatting>
  <conditionalFormatting sqref="C221">
    <cfRule type="cellIs" operator="notEqual" dxfId="985" priority="450">
      <formula>Round(D221+Sum(F221:G221),0)</formula>
    </cfRule>
  </conditionalFormatting>
  <conditionalFormatting sqref="H221">
    <cfRule type="cellIs" operator="notEqual" dxfId="986" priority="451">
      <formula>Round(I221+Sum(K221:L221),0)</formula>
    </cfRule>
  </conditionalFormatting>
  <conditionalFormatting sqref="C222">
    <cfRule type="cellIs" operator="notEqual" dxfId="987" priority="452">
      <formula>Round(D222+Sum(F222:G222),0)</formula>
    </cfRule>
  </conditionalFormatting>
  <conditionalFormatting sqref="H222">
    <cfRule type="cellIs" operator="notEqual" dxfId="988" priority="453">
      <formula>Round(I222+Sum(K222:L222),0)</formula>
    </cfRule>
  </conditionalFormatting>
  <conditionalFormatting sqref="C223">
    <cfRule type="cellIs" operator="notEqual" dxfId="989" priority="454">
      <formula>Round(D223+Sum(F223:G223),0)</formula>
    </cfRule>
  </conditionalFormatting>
  <conditionalFormatting sqref="H223">
    <cfRule type="cellIs" operator="notEqual" dxfId="990" priority="455">
      <formula>Round(I223+Sum(K223:L223),0)</formula>
    </cfRule>
  </conditionalFormatting>
  <conditionalFormatting sqref="C224">
    <cfRule type="cellIs" operator="notEqual" dxfId="991" priority="456">
      <formula>Round(D224+Sum(F224:G224),0)</formula>
    </cfRule>
  </conditionalFormatting>
  <conditionalFormatting sqref="H224">
    <cfRule type="cellIs" operator="notEqual" dxfId="992" priority="457">
      <formula>Round(I224+Sum(K224:L224),0)</formula>
    </cfRule>
  </conditionalFormatting>
  <conditionalFormatting sqref="C225">
    <cfRule type="cellIs" operator="notEqual" dxfId="993" priority="458">
      <formula>Round(D225+Sum(F225:G225),0)</formula>
    </cfRule>
  </conditionalFormatting>
  <conditionalFormatting sqref="H225">
    <cfRule type="cellIs" operator="notEqual" dxfId="994" priority="459">
      <formula>Round(I225+Sum(K225:L225),0)</formula>
    </cfRule>
  </conditionalFormatting>
  <conditionalFormatting sqref="C226">
    <cfRule type="cellIs" operator="notEqual" dxfId="995" priority="460">
      <formula>Round(D226+Sum(F226:G226),0)</formula>
    </cfRule>
  </conditionalFormatting>
  <conditionalFormatting sqref="H226">
    <cfRule type="cellIs" operator="notEqual" dxfId="996" priority="461">
      <formula>Round(I226+Sum(K226:L226),0)</formula>
    </cfRule>
  </conditionalFormatting>
  <conditionalFormatting sqref="C227">
    <cfRule type="cellIs" operator="notEqual" dxfId="997" priority="462">
      <formula>Round(D227+Sum(F227:G227),0)</formula>
    </cfRule>
  </conditionalFormatting>
  <conditionalFormatting sqref="H227">
    <cfRule type="cellIs" operator="notEqual" dxfId="998" priority="463">
      <formula>Round(I227+Sum(K227:L227),0)</formula>
    </cfRule>
  </conditionalFormatting>
  <conditionalFormatting sqref="C228">
    <cfRule type="cellIs" operator="notEqual" dxfId="999" priority="464">
      <formula>Round(D228+Sum(F228:G228),0)</formula>
    </cfRule>
  </conditionalFormatting>
  <conditionalFormatting sqref="H228">
    <cfRule type="cellIs" operator="notEqual" dxfId="1000" priority="465">
      <formula>Round(I228+Sum(K228:L228),0)</formula>
    </cfRule>
  </conditionalFormatting>
  <conditionalFormatting sqref="C229">
    <cfRule type="cellIs" operator="notEqual" dxfId="1001" priority="466">
      <formula>Round(D229+Sum(F229:G229),0)</formula>
    </cfRule>
  </conditionalFormatting>
  <conditionalFormatting sqref="H229">
    <cfRule type="cellIs" operator="notEqual" dxfId="1002" priority="467">
      <formula>Round(I229+Sum(K229:L229),0)</formula>
    </cfRule>
  </conditionalFormatting>
  <conditionalFormatting sqref="C230">
    <cfRule type="cellIs" operator="notEqual" dxfId="1003" priority="468">
      <formula>Round(D230+Sum(F230:G230),0)</formula>
    </cfRule>
  </conditionalFormatting>
  <conditionalFormatting sqref="H230">
    <cfRule type="cellIs" operator="notEqual" dxfId="1004" priority="469">
      <formula>Round(I230+Sum(K230:L230),0)</formula>
    </cfRule>
  </conditionalFormatting>
  <conditionalFormatting sqref="C231">
    <cfRule type="cellIs" operator="notEqual" dxfId="1005" priority="470">
      <formula>Round(D231+Sum(F231:G231),0)</formula>
    </cfRule>
  </conditionalFormatting>
  <conditionalFormatting sqref="H231">
    <cfRule type="cellIs" operator="notEqual" dxfId="1006" priority="471">
      <formula>Round(I231+Sum(K231:L231),0)</formula>
    </cfRule>
  </conditionalFormatting>
  <conditionalFormatting sqref="C232">
    <cfRule type="cellIs" operator="notEqual" dxfId="1007" priority="472">
      <formula>Round(D232+Sum(F232:G232),0)</formula>
    </cfRule>
  </conditionalFormatting>
  <conditionalFormatting sqref="H232">
    <cfRule type="cellIs" operator="notEqual" dxfId="1008" priority="473">
      <formula>Round(I232+Sum(K232:L232),0)</formula>
    </cfRule>
  </conditionalFormatting>
  <conditionalFormatting sqref="C233">
    <cfRule type="cellIs" operator="notEqual" dxfId="1009" priority="474">
      <formula>Round(D233+Sum(F233:G233),0)</formula>
    </cfRule>
  </conditionalFormatting>
  <conditionalFormatting sqref="H233">
    <cfRule type="cellIs" operator="notEqual" dxfId="1010" priority="475">
      <formula>Round(I233+Sum(K233:L233),0)</formula>
    </cfRule>
  </conditionalFormatting>
  <conditionalFormatting sqref="C234">
    <cfRule type="cellIs" operator="notEqual" dxfId="1011" priority="476">
      <formula>Round(D234+Sum(F234:G234),0)</formula>
    </cfRule>
  </conditionalFormatting>
  <conditionalFormatting sqref="H234">
    <cfRule type="cellIs" operator="notEqual" dxfId="1012" priority="477">
      <formula>Round(I234+Sum(K234:L234),0)</formula>
    </cfRule>
  </conditionalFormatting>
  <conditionalFormatting sqref="C235">
    <cfRule type="cellIs" operator="notEqual" dxfId="1013" priority="478">
      <formula>Round(D235+Sum(F235:G235),0)</formula>
    </cfRule>
  </conditionalFormatting>
  <conditionalFormatting sqref="H235">
    <cfRule type="cellIs" operator="notEqual" dxfId="1014" priority="479">
      <formula>Round(I235+Sum(K235:L235),0)</formula>
    </cfRule>
  </conditionalFormatting>
  <conditionalFormatting sqref="C236">
    <cfRule type="cellIs" operator="notEqual" dxfId="1015" priority="480">
      <formula>Round(D236+Sum(F236:G236),0)</formula>
    </cfRule>
  </conditionalFormatting>
  <conditionalFormatting sqref="H236">
    <cfRule type="cellIs" operator="notEqual" dxfId="1016" priority="481">
      <formula>Round(I236+Sum(K236:L236),0)</formula>
    </cfRule>
  </conditionalFormatting>
  <conditionalFormatting sqref="C237">
    <cfRule type="cellIs" operator="notEqual" dxfId="1017" priority="482">
      <formula>Round(D237+Sum(F237:G237),0)</formula>
    </cfRule>
  </conditionalFormatting>
  <conditionalFormatting sqref="H237">
    <cfRule type="cellIs" operator="notEqual" dxfId="1018" priority="483">
      <formula>Round(I237+Sum(K237:L237),0)</formula>
    </cfRule>
  </conditionalFormatting>
  <conditionalFormatting sqref="C238">
    <cfRule type="cellIs" operator="notEqual" dxfId="1019" priority="484">
      <formula>Round(D238+Sum(F238:G238),0)</formula>
    </cfRule>
  </conditionalFormatting>
  <conditionalFormatting sqref="H238">
    <cfRule type="cellIs" operator="notEqual" dxfId="1020" priority="485">
      <formula>Round(I238+Sum(K238:L238),0)</formula>
    </cfRule>
  </conditionalFormatting>
  <conditionalFormatting sqref="C239">
    <cfRule type="cellIs" operator="notEqual" dxfId="1021" priority="486">
      <formula>Round(D239+Sum(F239:G239),0)</formula>
    </cfRule>
  </conditionalFormatting>
  <conditionalFormatting sqref="H239">
    <cfRule type="cellIs" operator="notEqual" dxfId="1022" priority="487">
      <formula>Round(I239+Sum(K239:L239),0)</formula>
    </cfRule>
  </conditionalFormatting>
  <conditionalFormatting sqref="C240">
    <cfRule type="cellIs" operator="notEqual" dxfId="1023" priority="488">
      <formula>Round(D240+Sum(F240:G240),0)</formula>
    </cfRule>
  </conditionalFormatting>
  <conditionalFormatting sqref="H240">
    <cfRule type="cellIs" operator="notEqual" dxfId="1024" priority="489">
      <formula>Round(I240+Sum(K240:L240),0)</formula>
    </cfRule>
  </conditionalFormatting>
  <conditionalFormatting sqref="C241">
    <cfRule type="cellIs" operator="notEqual" dxfId="1025" priority="490">
      <formula>Round(D241+Sum(F241:G241),0)</formula>
    </cfRule>
  </conditionalFormatting>
  <conditionalFormatting sqref="H241">
    <cfRule type="cellIs" operator="notEqual" dxfId="1026" priority="491">
      <formula>Round(I241+Sum(K241:L241),0)</formula>
    </cfRule>
  </conditionalFormatting>
  <conditionalFormatting sqref="C242">
    <cfRule type="cellIs" operator="notEqual" dxfId="1027" priority="492">
      <formula>Round(D242+Sum(F242:G242),0)</formula>
    </cfRule>
  </conditionalFormatting>
  <conditionalFormatting sqref="H242">
    <cfRule type="cellIs" operator="notEqual" dxfId="1028" priority="493">
      <formula>Round(I242+Sum(K242:L242),0)</formula>
    </cfRule>
  </conditionalFormatting>
  <conditionalFormatting sqref="C243">
    <cfRule type="cellIs" operator="notEqual" dxfId="1029" priority="494">
      <formula>Round(D243+Sum(F243:G243),0)</formula>
    </cfRule>
  </conditionalFormatting>
  <conditionalFormatting sqref="H243">
    <cfRule type="cellIs" operator="notEqual" dxfId="1030" priority="495">
      <formula>Round(I243+Sum(K243:L243),0)</formula>
    </cfRule>
  </conditionalFormatting>
  <conditionalFormatting sqref="C244">
    <cfRule type="cellIs" operator="notEqual" dxfId="1031" priority="496">
      <formula>Round(D244+Sum(F244:G244),0)</formula>
    </cfRule>
  </conditionalFormatting>
  <conditionalFormatting sqref="H244">
    <cfRule type="cellIs" operator="notEqual" dxfId="1032" priority="497">
      <formula>Round(I244+Sum(K244:L244),0)</formula>
    </cfRule>
  </conditionalFormatting>
  <conditionalFormatting sqref="C245">
    <cfRule type="cellIs" operator="notEqual" dxfId="1033" priority="498">
      <formula>Round(D245+Sum(F245:G245),0)</formula>
    </cfRule>
  </conditionalFormatting>
  <conditionalFormatting sqref="H245">
    <cfRule type="cellIs" operator="notEqual" dxfId="1034" priority="499">
      <formula>Round(I245+Sum(K245:L245),0)</formula>
    </cfRule>
  </conditionalFormatting>
  <conditionalFormatting sqref="C246">
    <cfRule type="cellIs" operator="notEqual" dxfId="1035" priority="500">
      <formula>Round(D246+Sum(F246:G246),0)</formula>
    </cfRule>
  </conditionalFormatting>
  <conditionalFormatting sqref="H246">
    <cfRule type="cellIs" operator="notEqual" dxfId="1036" priority="501">
      <formula>Round(I246+Sum(K246:L246),0)</formula>
    </cfRule>
  </conditionalFormatting>
  <conditionalFormatting sqref="C247">
    <cfRule type="cellIs" operator="notEqual" dxfId="1037" priority="502">
      <formula>Round(D247+Sum(F247:G247),0)</formula>
    </cfRule>
  </conditionalFormatting>
  <conditionalFormatting sqref="H247">
    <cfRule type="cellIs" operator="notEqual" dxfId="1038" priority="503">
      <formula>Round(I247+Sum(K247:L247),0)</formula>
    </cfRule>
  </conditionalFormatting>
  <conditionalFormatting sqref="C248">
    <cfRule type="cellIs" operator="notEqual" dxfId="1039" priority="504">
      <formula>Round(D248+Sum(F248:G248),0)</formula>
    </cfRule>
  </conditionalFormatting>
  <conditionalFormatting sqref="H248">
    <cfRule type="cellIs" operator="notEqual" dxfId="1040" priority="505">
      <formula>Round(I248+Sum(K248:L248),0)</formula>
    </cfRule>
  </conditionalFormatting>
  <conditionalFormatting sqref="C249">
    <cfRule type="cellIs" operator="notEqual" dxfId="1041" priority="506">
      <formula>Round(D249+Sum(F249:G249),0)</formula>
    </cfRule>
  </conditionalFormatting>
  <conditionalFormatting sqref="H249">
    <cfRule type="cellIs" operator="notEqual" dxfId="1042" priority="507">
      <formula>Round(I249+Sum(K249:L249),0)</formula>
    </cfRule>
  </conditionalFormatting>
  <conditionalFormatting sqref="C250">
    <cfRule type="cellIs" operator="notEqual" dxfId="1043" priority="508">
      <formula>Round(D250+Sum(F250:G250),0)</formula>
    </cfRule>
  </conditionalFormatting>
  <conditionalFormatting sqref="H250">
    <cfRule type="cellIs" operator="notEqual" dxfId="1044" priority="509">
      <formula>Round(I250+Sum(K250:L250),0)</formula>
    </cfRule>
  </conditionalFormatting>
  <conditionalFormatting sqref="C251">
    <cfRule type="cellIs" operator="notEqual" dxfId="1045" priority="510">
      <formula>Round(D251+Sum(F251:G251),0)</formula>
    </cfRule>
  </conditionalFormatting>
  <conditionalFormatting sqref="H251">
    <cfRule type="cellIs" operator="notEqual" dxfId="1046" priority="511">
      <formula>Round(I251+Sum(K251:L251),0)</formula>
    </cfRule>
  </conditionalFormatting>
  <conditionalFormatting sqref="C252">
    <cfRule type="cellIs" operator="notEqual" dxfId="1047" priority="512">
      <formula>Round(D252+Sum(F252:G252),0)</formula>
    </cfRule>
  </conditionalFormatting>
  <conditionalFormatting sqref="H252">
    <cfRule type="cellIs" operator="notEqual" dxfId="1048" priority="513">
      <formula>Round(I252+Sum(K252:L252),0)</formula>
    </cfRule>
  </conditionalFormatting>
  <conditionalFormatting sqref="C253">
    <cfRule type="cellIs" operator="notEqual" dxfId="1049" priority="514">
      <formula>Round(D253+Sum(F253:G253),0)</formula>
    </cfRule>
  </conditionalFormatting>
  <conditionalFormatting sqref="H253">
    <cfRule type="cellIs" operator="notEqual" dxfId="1050" priority="515">
      <formula>Round(I253+Sum(K253:L253),0)</formula>
    </cfRule>
  </conditionalFormatting>
  <conditionalFormatting sqref="C254">
    <cfRule type="cellIs" operator="notEqual" dxfId="1051" priority="516">
      <formula>Round(D254+Sum(F254:G254),0)</formula>
    </cfRule>
  </conditionalFormatting>
  <conditionalFormatting sqref="H254">
    <cfRule type="cellIs" operator="notEqual" dxfId="1052" priority="517">
      <formula>Round(I254+Sum(K254:L254),0)</formula>
    </cfRule>
  </conditionalFormatting>
  <conditionalFormatting sqref="C255">
    <cfRule type="cellIs" operator="notEqual" dxfId="1053" priority="518">
      <formula>Round(D255+Sum(F255:G255),0)</formula>
    </cfRule>
  </conditionalFormatting>
  <conditionalFormatting sqref="H255">
    <cfRule type="cellIs" operator="notEqual" dxfId="1054" priority="519">
      <formula>Round(I255+Sum(K255:L255),0)</formula>
    </cfRule>
  </conditionalFormatting>
  <conditionalFormatting sqref="C256">
    <cfRule type="cellIs" operator="notEqual" dxfId="1055" priority="520">
      <formula>Round(D256+Sum(F256:G256),0)</formula>
    </cfRule>
  </conditionalFormatting>
  <conditionalFormatting sqref="H256">
    <cfRule type="cellIs" operator="notEqual" dxfId="1056" priority="521">
      <formula>Round(I256+Sum(K256:L256),0)</formula>
    </cfRule>
  </conditionalFormatting>
  <conditionalFormatting sqref="C257">
    <cfRule type="cellIs" operator="notEqual" dxfId="1057" priority="522">
      <formula>Round(D257+Sum(F257:G257),0)</formula>
    </cfRule>
  </conditionalFormatting>
  <conditionalFormatting sqref="H257">
    <cfRule type="cellIs" operator="notEqual" dxfId="1058" priority="523">
      <formula>Round(I257+Sum(K257:L257),0)</formula>
    </cfRule>
  </conditionalFormatting>
  <conditionalFormatting sqref="C258">
    <cfRule type="cellIs" operator="notEqual" dxfId="1059" priority="524">
      <formula>Round(D258+Sum(F258:G258),0)</formula>
    </cfRule>
  </conditionalFormatting>
  <conditionalFormatting sqref="H258">
    <cfRule type="cellIs" operator="notEqual" dxfId="1060" priority="525">
      <formula>Round(I258+Sum(K258:L258),0)</formula>
    </cfRule>
  </conditionalFormatting>
  <conditionalFormatting sqref="C259">
    <cfRule type="cellIs" operator="notEqual" dxfId="1061" priority="526">
      <formula>Round(D259+Sum(F259:G259),0)</formula>
    </cfRule>
  </conditionalFormatting>
  <conditionalFormatting sqref="H259">
    <cfRule type="cellIs" operator="notEqual" dxfId="1062" priority="527">
      <formula>Round(I259+Sum(K259:L259),0)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xl/worksheets/sheet4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13" max="13" width="250.0" customWidth="true"/>
    <col min="1" max="1" width="48.66796875" customWidth="true"/>
    <col min="2" max="2" width="10.0" customWidth="true"/>
  </cols>
  <sheetData>
    <row r="1" customHeight="true" ht="50.0">
      <c r="A1" s="3" t="inlineStr">
        <is>
          <t>Раздел 3. Внутригосударственная миграция мужчины и женщины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Число прибывших на постоянное жительство</t>
        </is>
      </c>
      <c r="D2" s="1"/>
      <c r="E2" s="1"/>
      <c r="F2" s="1"/>
      <c r="G2" s="1"/>
      <c r="H2" s="1" t="inlineStr">
        <is>
          <t>Число выбывших на постоянное жительство</t>
        </is>
      </c>
      <c r="I2" s="1"/>
      <c r="J2" s="1"/>
      <c r="K2" s="1"/>
      <c r="L2" s="1"/>
    </row>
    <row r="3">
      <c r="A3" s="1"/>
      <c r="B3" s="1"/>
      <c r="C3" s="1" t="inlineStr">
        <is>
          <t>Всего</t>
        </is>
      </c>
      <c r="D3" s="1" t="inlineStr">
        <is>
          <t>в том числе в возрасте</t>
        </is>
      </c>
      <c r="E3" s="1"/>
      <c r="F3" s="1"/>
      <c r="G3" s="1"/>
      <c r="H3" s="1" t="inlineStr">
        <is>
          <t>Всего</t>
        </is>
      </c>
      <c r="I3" s="1" t="inlineStr">
        <is>
          <t>в том числе в возрасте:</t>
        </is>
      </c>
      <c r="J3" s="1"/>
      <c r="K3" s="1"/>
      <c r="L3" s="1"/>
    </row>
    <row r="4">
      <c r="A4" s="1"/>
      <c r="B4" s="1"/>
      <c r="C4" s="1"/>
      <c r="D4" s="1" t="inlineStr">
        <is>
          <t>моложе трудоспособного</t>
        </is>
      </c>
      <c r="E4" s="1" t="inlineStr">
        <is>
          <t>15-29 лет</t>
        </is>
      </c>
      <c r="F4" s="1" t="inlineStr">
        <is>
          <t>трудоспособном</t>
        </is>
      </c>
      <c r="G4" s="1" t="inlineStr">
        <is>
          <t>старше трудоспособного</t>
        </is>
      </c>
      <c r="H4" s="1"/>
      <c r="I4" s="1" t="inlineStr">
        <is>
          <t>моложе трудоспособного</t>
        </is>
      </c>
      <c r="J4" s="1" t="inlineStr">
        <is>
          <t>15-29 лет</t>
        </is>
      </c>
      <c r="K4" s="1" t="inlineStr">
        <is>
          <t>трудоспособном</t>
        </is>
      </c>
      <c r="L4" s="1" t="inlineStr">
        <is>
          <t>старше трудоспособного</t>
        </is>
      </c>
    </row>
    <row r="5">
      <c r="A5" s="1"/>
      <c r="B5" s="1"/>
      <c r="C5" s="1" t="inlineStr">
        <is>
          <t>1</t>
        </is>
      </c>
      <c r="D5" s="1" t="inlineStr">
        <is>
          <t>2</t>
        </is>
      </c>
      <c r="E5" s="1" t="inlineStr">
        <is>
          <t>3</t>
        </is>
      </c>
      <c r="F5" s="1" t="inlineStr">
        <is>
          <t>4</t>
        </is>
      </c>
      <c r="G5" s="1" t="inlineStr">
        <is>
          <t>5</t>
        </is>
      </c>
      <c r="H5" s="1" t="inlineStr">
        <is>
          <t>6</t>
        </is>
      </c>
      <c r="I5" s="1" t="inlineStr">
        <is>
          <t>7</t>
        </is>
      </c>
      <c r="J5" s="1" t="inlineStr">
        <is>
          <t>8</t>
        </is>
      </c>
      <c r="K5" s="1" t="inlineStr">
        <is>
          <t>9</t>
        </is>
      </c>
      <c r="L5" s="1" t="inlineStr">
        <is>
          <t>10</t>
        </is>
      </c>
    </row>
    <row r="6" customHeight="true" ht="30.0">
      <c r="A6" s="5" t="inlineStr">
        <is>
          <t>Внутригосударственная миграция - мужчины</t>
        </is>
      </c>
      <c r="B6" s="1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customHeight="true" ht="30.0">
      <c r="A7" s="5" t="inlineStr">
        <is>
          <t>Численность внутригосударственных мигрантов</t>
        </is>
      </c>
      <c r="B7" s="1" t="inlineStr">
        <is>
          <t>507</t>
        </is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13">
        <f>IFERROR(If(C7=Round(D7+Sum(F7:G7),0)," "," Стр. 507, Гр. 1 [C7]  д.б. = [Окр(D7+Сум(F7:G7),0)] {" &amp; Round(D7+Sum(F7:G7),0) &amp; "}.")," ") &amp; IFERROR(If(H7=Round(I7+Sum(K7:L7),0)," "," Стр. 507, Гр. 6 [H7]  д.б. = [Окр(I7+Сум(K7:L7),0)] {" &amp; Round(I7+Sum(K7:L7),0) &amp; "}.")," ")</f>
        <v>0.0</v>
      </c>
    </row>
    <row r="8" customHeight="true" ht="30.0">
      <c r="A8" s="5" t="inlineStr">
        <is>
          <t>Внутригосударственная миграция - женщины</t>
        </is>
      </c>
      <c r="B8" s="1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customHeight="true" ht="30.0">
      <c r="A9" s="5" t="inlineStr">
        <is>
          <t>Численность внутригосударственных мигрантов</t>
        </is>
      </c>
      <c r="B9" s="1" t="inlineStr">
        <is>
          <t>508</t>
        </is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13">
        <f>IFERROR(If(C9=Round(D9+Sum(F9:G9),0)," "," Стр. 508, Гр. 1 [C9]  д.б. = [Окр(D9+Сум(F9:G9),0)] {" &amp; Round(D9+Sum(F9:G9),0) &amp; "}.")," ") &amp; IFERROR(If(H9=Round(I9+Sum(K9:L9),0)," "," Стр. 508, Гр. 6 [H9]  д.б. = [Окр(I9+Сум(K9:L9),0)] {" &amp; Round(I9+Sum(K9:L9),0) &amp; "}.")," ")</f>
        <v>0.0</v>
      </c>
    </row>
    <row r="11">
      <c r="A11" s="18" t="inlineStr">
        <is>
          <t>Примечание</t>
        </is>
      </c>
    </row>
    <row r="12" customHeight="true" ht="75.0">
      <c r="A12" s="10" t="inlineStr">
        <is>
          <t>Укажите границы трудоспособного возраста мужчин и  женщин в строке "Примечание пользователя"</t>
        </is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>
      <c r="A13" s="18" t="inlineStr">
        <is>
          <t>Примечание пользователя</t>
        </is>
      </c>
    </row>
    <row r="14" customHeight="true" ht="75.0">
      <c r="A14" s="9" t="inlineStr">
        <is>
          <t/>
        </is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>
      <c r="A15" s="18" t="inlineStr">
        <is>
          <t>Контактная информация</t>
        </is>
      </c>
    </row>
    <row r="16">
      <c r="A16" t="inlineStr">
        <is>
          <t>Период, за который представлена информация: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Исполнитель (ФИО):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Телефон:</t>
        </is>
      </c>
      <c r="B18" s="9" t="inlineStr">
        <is>
          <t/>
        </is>
      </c>
      <c r="C18" s="9"/>
      <c r="D18" s="9"/>
      <c r="E18" s="9"/>
    </row>
    <row r="19">
      <c r="A19" t="inlineStr">
        <is>
          <t>E-mail:</t>
        </is>
      </c>
      <c r="B19" s="9" t="inlineStr">
        <is>
          <t/>
        </is>
      </c>
      <c r="C19" s="9"/>
      <c r="D19" s="9"/>
      <c r="E19" s="9"/>
    </row>
    <row r="20">
      <c r="A20" t="inlineStr">
        <is>
          <t>Другие примечания:</t>
        </is>
      </c>
      <c r="B20" s="9" t="inlineStr">
        <is>
          <t/>
        </is>
      </c>
      <c r="C20" s="9"/>
      <c r="D20" s="9"/>
      <c r="E20" s="9"/>
    </row>
  </sheetData>
  <sheetProtection deleteColumns="true" formatColumns="false" formatRows="false" sheet="true" password="CF66" scenarios="true" objects="true"/>
  <mergeCells>
    <mergeCell ref="A1:L1"/>
    <mergeCell ref="A2:A5"/>
    <mergeCell ref="B2:B5"/>
    <mergeCell ref="C2:G2"/>
    <mergeCell ref="H2:L2"/>
    <mergeCell ref="C3:C4"/>
    <mergeCell ref="D3:G3"/>
    <mergeCell ref="H3:H4"/>
    <mergeCell ref="I3:L3"/>
    <mergeCell ref="C6:L6"/>
    <mergeCell ref="C8:L8"/>
    <mergeCell ref="A12:L12"/>
    <mergeCell ref="A14:L14"/>
    <mergeCell ref="B16:E16"/>
    <mergeCell ref="B17:E17"/>
    <mergeCell ref="B18:E18"/>
    <mergeCell ref="B19:E19"/>
    <mergeCell ref="B20:E20"/>
  </mergeCells>
  <conditionalFormatting sqref="C7">
    <cfRule type="cellIs" operator="notEqual" dxfId="1063" priority="1">
      <formula>Round(D7+Sum(F7:G7),0)</formula>
    </cfRule>
  </conditionalFormatting>
  <conditionalFormatting sqref="H7">
    <cfRule type="cellIs" operator="notEqual" dxfId="1064" priority="2">
      <formula>Round(I7+Sum(K7:L7),0)</formula>
    </cfRule>
  </conditionalFormatting>
  <conditionalFormatting sqref="C9">
    <cfRule type="cellIs" operator="notEqual" dxfId="1065" priority="3">
      <formula>Round(D9+Sum(F9:G9),0)</formula>
    </cfRule>
  </conditionalFormatting>
  <conditionalFormatting sqref="H9">
    <cfRule type="cellIs" operator="notEqual" dxfId="1066" priority="4">
      <formula>Round(I9+Sum(K9:L9),0)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2026-01-13T10:21:55Z</dcterms:created>
  <dc:creator>Apache POI</dc:creator>
</cp:coreProperties>
</file>