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T190" i="2" l="1"/>
  <c r="T189" i="2"/>
  <c r="T187" i="2"/>
  <c r="T186" i="2"/>
  <c r="T185" i="2"/>
  <c r="T183" i="2"/>
  <c r="T182" i="2"/>
  <c r="T181" i="2"/>
  <c r="T179" i="2"/>
  <c r="T178" i="2"/>
  <c r="T177" i="2"/>
  <c r="T175" i="2"/>
  <c r="T174" i="2"/>
  <c r="T173" i="2"/>
  <c r="T171" i="2"/>
  <c r="T170" i="2"/>
  <c r="T169" i="2"/>
  <c r="T167" i="2"/>
  <c r="T166" i="2"/>
  <c r="T165" i="2"/>
  <c r="T163" i="2"/>
  <c r="T162" i="2"/>
  <c r="T161" i="2"/>
  <c r="T159" i="2"/>
  <c r="T158" i="2"/>
  <c r="T157" i="2"/>
  <c r="T155" i="2"/>
  <c r="T154" i="2"/>
  <c r="T153" i="2"/>
  <c r="T151" i="2"/>
  <c r="T150" i="2"/>
  <c r="T149" i="2"/>
  <c r="T147" i="2"/>
  <c r="T146" i="2"/>
  <c r="T145" i="2"/>
  <c r="T143" i="2"/>
  <c r="T142" i="2"/>
  <c r="T141" i="2"/>
  <c r="T139" i="2"/>
  <c r="T138" i="2"/>
  <c r="T137" i="2"/>
  <c r="T135" i="2"/>
  <c r="T134" i="2"/>
  <c r="T133" i="2"/>
  <c r="T131" i="2"/>
  <c r="T130" i="2"/>
  <c r="T129" i="2"/>
  <c r="T127" i="2"/>
  <c r="T126" i="2"/>
  <c r="T125" i="2"/>
  <c r="T123" i="2"/>
  <c r="T122" i="2"/>
  <c r="T121" i="2"/>
  <c r="T119" i="2"/>
  <c r="T118" i="2"/>
  <c r="T117" i="2"/>
  <c r="T115" i="2"/>
  <c r="T114" i="2"/>
  <c r="T113" i="2"/>
  <c r="T111" i="2"/>
  <c r="T106" i="2"/>
  <c r="T105" i="2"/>
  <c r="T103" i="2"/>
  <c r="T102" i="2"/>
  <c r="T101" i="2"/>
  <c r="T99" i="2"/>
  <c r="T98" i="2"/>
  <c r="T97" i="2"/>
  <c r="T95" i="2"/>
  <c r="T94" i="2"/>
  <c r="T93" i="2"/>
  <c r="T91" i="2"/>
  <c r="T90" i="2"/>
  <c r="T89" i="2"/>
  <c r="T87" i="2"/>
  <c r="T86" i="2"/>
  <c r="T85" i="2"/>
  <c r="T83" i="2"/>
  <c r="T82" i="2"/>
  <c r="T81" i="2"/>
  <c r="T79" i="2"/>
  <c r="T78" i="2"/>
  <c r="T77" i="2"/>
  <c r="T75" i="2"/>
  <c r="T74" i="2"/>
  <c r="T73" i="2"/>
  <c r="T71" i="2"/>
  <c r="T70" i="2"/>
  <c r="T69" i="2"/>
  <c r="T67" i="2"/>
  <c r="T66" i="2"/>
  <c r="T65" i="2"/>
  <c r="T63" i="2"/>
  <c r="T62" i="2"/>
  <c r="T61" i="2"/>
  <c r="T59" i="2"/>
  <c r="T58" i="2"/>
  <c r="T57" i="2"/>
  <c r="T55" i="2"/>
  <c r="T54" i="2"/>
  <c r="T53" i="2"/>
  <c r="T51" i="2"/>
  <c r="T50" i="2"/>
  <c r="T49" i="2"/>
  <c r="T47" i="2"/>
  <c r="T46" i="2"/>
  <c r="T45" i="2"/>
  <c r="T43" i="2"/>
  <c r="T42" i="2"/>
  <c r="T41" i="2"/>
  <c r="T39" i="2"/>
  <c r="T38" i="2"/>
  <c r="T37" i="2"/>
  <c r="T34" i="2"/>
  <c r="T33" i="2"/>
  <c r="T31" i="2"/>
  <c r="T30" i="2"/>
  <c r="T29" i="2"/>
  <c r="T27" i="2"/>
  <c r="T26" i="2"/>
  <c r="T25" i="2"/>
  <c r="T23" i="2"/>
  <c r="T22" i="2"/>
  <c r="T21" i="2"/>
  <c r="T19" i="2"/>
  <c r="T18" i="2"/>
  <c r="T17" i="2"/>
  <c r="T15" i="2"/>
  <c r="T14" i="2"/>
  <c r="T13" i="2"/>
  <c r="T11" i="2"/>
  <c r="T9" i="2"/>
  <c r="T8" i="2"/>
  <c r="T6" i="2"/>
  <c r="S4" i="2"/>
  <c r="R4" i="2"/>
  <c r="Q3" i="2"/>
  <c r="P3" i="2"/>
  <c r="L3" i="2"/>
  <c r="K3" i="2"/>
  <c r="J3" i="2"/>
  <c r="I3" i="2"/>
  <c r="H3" i="2"/>
  <c r="G3" i="2"/>
  <c r="F3" i="2"/>
  <c r="E3" i="2"/>
  <c r="M2" i="2"/>
</calcChain>
</file>

<file path=xl/sharedStrings.xml><?xml version="1.0" encoding="utf-8"?>
<sst xmlns="http://schemas.openxmlformats.org/spreadsheetml/2006/main" count="756" uniqueCount="302">
  <si>
    <t>Код страны:</t>
  </si>
  <si>
    <t/>
  </si>
  <si>
    <t>Страна:</t>
  </si>
  <si>
    <t>Код шаблона</t>
  </si>
  <si>
    <t>S13.3.7</t>
  </si>
  <si>
    <t>Название секции</t>
  </si>
  <si>
    <t>S13.Вопросник № 03 по статистике внешнеэкономических связей</t>
  </si>
  <si>
    <t>Название формы</t>
  </si>
  <si>
    <t>3.7.Импорт отдельных товаров из стран СНГ и других стран мира</t>
  </si>
  <si>
    <t>Версия шаблона</t>
  </si>
  <si>
    <t>2023</t>
  </si>
  <si>
    <t>Период формы/дата предоставления</t>
  </si>
  <si>
    <t>Месяц, месячная - 15 числа через 2 месяца после отчетного периода; годовая - (окончательные данные) - 31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</si>
  <si>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</si>
  <si>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</si>
  <si>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</si>
  <si>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</si>
  <si>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ТН ВЭД ЕАЭС</t>
  </si>
  <si>
    <t>Единица измерения</t>
  </si>
  <si>
    <t>количество</t>
  </si>
  <si>
    <t>тыс.долларов</t>
  </si>
  <si>
    <t>Удельный вес в % по стоимости</t>
  </si>
  <si>
    <t>Средняя цена (долларов)</t>
  </si>
  <si>
    <t>Удельный вес стран СНГ и др. в итоге</t>
  </si>
  <si>
    <t>Соот.цен: СНГ/другие</t>
  </si>
  <si>
    <t>гр.7:гр.8</t>
  </si>
  <si>
    <t>гр.1:гр.2</t>
  </si>
  <si>
    <t>гр.3:гр.4</t>
  </si>
  <si>
    <t>Соот.цен: другие/СНГ</t>
  </si>
  <si>
    <t>цены</t>
  </si>
  <si>
    <t>физ. объема</t>
  </si>
  <si>
    <t>стоим.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</si>
  <si>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</si>
  <si>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</si>
  <si>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</si>
  <si>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</si>
  <si>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</si>
  <si>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</si>
  <si>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</si>
  <si>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</si>
  <si>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</si>
  <si>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</si>
  <si>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12(нат.)</t>
  </si>
  <si>
    <t>13(нат.)</t>
  </si>
  <si>
    <t>14</t>
  </si>
  <si>
    <t>15</t>
  </si>
  <si>
    <t>Общий объем импорта</t>
  </si>
  <si>
    <t>01</t>
  </si>
  <si>
    <t>   в том числе из стран:</t>
  </si>
  <si>
    <t>      СНГ</t>
  </si>
  <si>
    <t>02</t>
  </si>
  <si>
    <t>      других</t>
  </si>
  <si>
    <t>03</t>
  </si>
  <si>
    <t>                     в том числе по товарам:</t>
  </si>
  <si>
    <t>   Мясо и пищевые мясные субпродукты</t>
  </si>
  <si>
    <t>04</t>
  </si>
  <si>
    <t>тонн</t>
  </si>
  <si>
    <t>      в том числе из стран:</t>
  </si>
  <si>
    <t>         СНГ</t>
  </si>
  <si>
    <t>05</t>
  </si>
  <si>
    <t>         других</t>
  </si>
  <si>
    <t>06</t>
  </si>
  <si>
    <t>   Рыба свежая и свежемороженая, филе</t>
  </si>
  <si>
    <t>07</t>
  </si>
  <si>
    <t>0302-0304</t>
  </si>
  <si>
    <t>08</t>
  </si>
  <si>
    <t>09</t>
  </si>
  <si>
    <t>   Масло сливочное и прочие молочные жиры</t>
  </si>
  <si>
    <t>0405</t>
  </si>
  <si>
    <t>12</t>
  </si>
  <si>
    <t>   Кофе</t>
  </si>
  <si>
    <t>13</t>
  </si>
  <si>
    <t>0901</t>
  </si>
  <si>
    <t>   Чай</t>
  </si>
  <si>
    <t>16</t>
  </si>
  <si>
    <t>0902</t>
  </si>
  <si>
    <t>      в том числе из стран</t>
  </si>
  <si>
    <t>17</t>
  </si>
  <si>
    <t>18</t>
  </si>
  <si>
    <t>   Злаки</t>
  </si>
  <si>
    <t>19</t>
  </si>
  <si>
    <t>20</t>
  </si>
  <si>
    <t>21</t>
  </si>
  <si>
    <t>   Пшеница и меслин</t>
  </si>
  <si>
    <t>22</t>
  </si>
  <si>
    <t>1001</t>
  </si>
  <si>
    <t>23</t>
  </si>
  <si>
    <t>24</t>
  </si>
  <si>
    <t>   Мука пшеничная или пшенично-ржаная</t>
  </si>
  <si>
    <t>25</t>
  </si>
  <si>
    <t>1101 00</t>
  </si>
  <si>
    <t>26</t>
  </si>
  <si>
    <t>27</t>
  </si>
  <si>
    <t>   Масло подсолнечное, сафлоровое или хлопковое</t>
  </si>
  <si>
    <t>28</t>
  </si>
  <si>
    <t>1512</t>
  </si>
  <si>
    <t>29</t>
  </si>
  <si>
    <t>30</t>
  </si>
  <si>
    <t>   Сахар-сырец</t>
  </si>
  <si>
    <t>31</t>
  </si>
  <si>
    <t>1701 12 - 1701 14</t>
  </si>
  <si>
    <t>32</t>
  </si>
  <si>
    <t>33</t>
  </si>
  <si>
    <t>   Сахар белый</t>
  </si>
  <si>
    <t>34</t>
  </si>
  <si>
    <t>1701 99 100 1,</t>
  </si>
  <si>
    <t>1701 99 100 9</t>
  </si>
  <si>
    <t>35</t>
  </si>
  <si>
    <t>36</t>
  </si>
  <si>
    <t>   Портландцемент, цемент</t>
  </si>
  <si>
    <t>37</t>
  </si>
  <si>
    <t>2523</t>
  </si>
  <si>
    <t>тыс.тонн</t>
  </si>
  <si>
    <t>38</t>
  </si>
  <si>
    <t>39</t>
  </si>
  <si>
    <t>   Руды и концентраты железные</t>
  </si>
  <si>
    <t>40</t>
  </si>
  <si>
    <t>2601</t>
  </si>
  <si>
    <t>41</t>
  </si>
  <si>
    <t>42</t>
  </si>
  <si>
    <t>   Уголь каменный</t>
  </si>
  <si>
    <t>43</t>
  </si>
  <si>
    <t>2701</t>
  </si>
  <si>
    <t>44</t>
  </si>
  <si>
    <t>45</t>
  </si>
  <si>
    <t>   Нефть сырая</t>
  </si>
  <si>
    <t>46</t>
  </si>
  <si>
    <t>2709 00</t>
  </si>
  <si>
    <t>47</t>
  </si>
  <si>
    <t>48</t>
  </si>
  <si>
    <t>   Продукты переработки нефти</t>
  </si>
  <si>
    <t>49</t>
  </si>
  <si>
    <t>2710 00</t>
  </si>
  <si>
    <t>50</t>
  </si>
  <si>
    <t>51</t>
  </si>
  <si>
    <t>               Бензин  автомобильный</t>
  </si>
  <si>
    <t>52</t>
  </si>
  <si>
    <t>2710 124100 - 2710125900</t>
  </si>
  <si>
    <t>               в том числе из стран:</t>
  </si>
  <si>
    <t>                  СНГ</t>
  </si>
  <si>
    <t>53</t>
  </si>
  <si>
    <t>                  других</t>
  </si>
  <si>
    <t>54</t>
  </si>
  <si>
    <t>               Газойли (дизельное топливо)</t>
  </si>
  <si>
    <t>55</t>
  </si>
  <si>
    <t>2710193100 - 2710194800</t>
  </si>
  <si>
    <t>56</t>
  </si>
  <si>
    <t>57</t>
  </si>
  <si>
    <t>               Топлива жидкие (мазут)</t>
  </si>
  <si>
    <t>58</t>
  </si>
  <si>
    <t>2710 195100 - 2710196800</t>
  </si>
  <si>
    <t>59</t>
  </si>
  <si>
    <t>60</t>
  </si>
  <si>
    <t>   Газ природный</t>
  </si>
  <si>
    <t>61</t>
  </si>
  <si>
    <t>2711 21 000 0</t>
  </si>
  <si>
    <t>млн.куб.м</t>
  </si>
  <si>
    <t>62</t>
  </si>
  <si>
    <t>63</t>
  </si>
  <si>
    <t>   Электроэнергия</t>
  </si>
  <si>
    <t>64</t>
  </si>
  <si>
    <t>2716 00 000 0</t>
  </si>
  <si>
    <t>млн.кВт.ч</t>
  </si>
  <si>
    <t>65</t>
  </si>
  <si>
    <t>66</t>
  </si>
  <si>
    <t>   Медикаменты</t>
  </si>
  <si>
    <t>67</t>
  </si>
  <si>
    <t>2941, 3003, 3004</t>
  </si>
  <si>
    <t>кг</t>
  </si>
  <si>
    <t>68</t>
  </si>
  <si>
    <t>69</t>
  </si>
  <si>
    <t>   Удобрения минеральные или химические -всего</t>
  </si>
  <si>
    <t>70</t>
  </si>
  <si>
    <t>3102-3105</t>
  </si>
  <si>
    <t>71</t>
  </si>
  <si>
    <t>72</t>
  </si>
  <si>
    <t>               - удобрения минеральные или химические, азотные (в физическом весе)</t>
  </si>
  <si>
    <t>73</t>
  </si>
  <si>
    <t>3102</t>
  </si>
  <si>
    <t>74</t>
  </si>
  <si>
    <t>75</t>
  </si>
  <si>
    <t>               - удобрения минеральные или химические, азотные (в пересчете на 100% питательного вещества)</t>
  </si>
  <si>
    <t>76</t>
  </si>
  <si>
    <t>77</t>
  </si>
  <si>
    <t>78</t>
  </si>
  <si>
    <t>   Лесоматериалы необработанные</t>
  </si>
  <si>
    <t>79</t>
  </si>
  <si>
    <t>4403</t>
  </si>
  <si>
    <t>куб.м</t>
  </si>
  <si>
    <t>80</t>
  </si>
  <si>
    <t>81</t>
  </si>
  <si>
    <t>   Лесоматериалы обработанные</t>
  </si>
  <si>
    <t>82</t>
  </si>
  <si>
    <t>4407</t>
  </si>
  <si>
    <t>83</t>
  </si>
  <si>
    <t>84</t>
  </si>
  <si>
    <t>   Шерсть</t>
  </si>
  <si>
    <t>85</t>
  </si>
  <si>
    <t>5101, 5102, 5105</t>
  </si>
  <si>
    <t>86</t>
  </si>
  <si>
    <t>87</t>
  </si>
  <si>
    <t>   Волокно хлопковое</t>
  </si>
  <si>
    <t>88</t>
  </si>
  <si>
    <t>5201 00, 5203 00</t>
  </si>
  <si>
    <t>89</t>
  </si>
  <si>
    <t>90</t>
  </si>
  <si>
    <t>   Ткани хлопчатобумажные</t>
  </si>
  <si>
    <t>91</t>
  </si>
  <si>
    <t>5208-5212</t>
  </si>
  <si>
    <t>тыс.м</t>
  </si>
  <si>
    <t>92</t>
  </si>
  <si>
    <t>93</t>
  </si>
  <si>
    <t>   Одежда и принадлежности одежды трикотажные и текстильные</t>
  </si>
  <si>
    <t>94</t>
  </si>
  <si>
    <t>61,62</t>
  </si>
  <si>
    <t>95</t>
  </si>
  <si>
    <t>96</t>
  </si>
  <si>
    <t>   Обувь кожаная</t>
  </si>
  <si>
    <t>97</t>
  </si>
  <si>
    <t>6403</t>
  </si>
  <si>
    <t>тыс.пар</t>
  </si>
  <si>
    <t>98</t>
  </si>
  <si>
    <t>99</t>
  </si>
  <si>
    <t>   Черные металлы (кроме 72.01-72.04)</t>
  </si>
  <si>
    <t>100</t>
  </si>
  <si>
    <t>тыс. тонн</t>
  </si>
  <si>
    <t>101</t>
  </si>
  <si>
    <t>102</t>
  </si>
  <si>
    <t>   Чугун передельный и зеркальный</t>
  </si>
  <si>
    <t>103</t>
  </si>
  <si>
    <t>7201</t>
  </si>
  <si>
    <t>104</t>
  </si>
  <si>
    <t>105</t>
  </si>
  <si>
    <t>   Ферросплавы</t>
  </si>
  <si>
    <t>106</t>
  </si>
  <si>
    <t>7202</t>
  </si>
  <si>
    <t>107</t>
  </si>
  <si>
    <t>108</t>
  </si>
  <si>
    <t>   Трубы из  черных металлов</t>
  </si>
  <si>
    <t>109</t>
  </si>
  <si>
    <t>7304-7306</t>
  </si>
  <si>
    <t>110</t>
  </si>
  <si>
    <t>111</t>
  </si>
  <si>
    <t>   Медь рафинированная и сплавы</t>
  </si>
  <si>
    <t>112</t>
  </si>
  <si>
    <t>7403</t>
  </si>
  <si>
    <t>113</t>
  </si>
  <si>
    <t>114</t>
  </si>
  <si>
    <t>   Алюминий необработанный</t>
  </si>
  <si>
    <t>115</t>
  </si>
  <si>
    <t>7601</t>
  </si>
  <si>
    <t>116</t>
  </si>
  <si>
    <t>         другие</t>
  </si>
  <si>
    <t>117</t>
  </si>
  <si>
    <t>   Машины и оборудование</t>
  </si>
  <si>
    <t>118</t>
  </si>
  <si>
    <t>84, 85, 86, 87, 88, 89, 90</t>
  </si>
  <si>
    <t>119</t>
  </si>
  <si>
    <t>120</t>
  </si>
  <si>
    <t>   Комбайны зерноуборочные, штук</t>
  </si>
  <si>
    <t>121</t>
  </si>
  <si>
    <t>843351000</t>
  </si>
  <si>
    <t>штук</t>
  </si>
  <si>
    <t>122</t>
  </si>
  <si>
    <t>123</t>
  </si>
  <si>
    <t>   Вычислительные машины и их блоки</t>
  </si>
  <si>
    <t>124</t>
  </si>
  <si>
    <t>8471</t>
  </si>
  <si>
    <t>125</t>
  </si>
  <si>
    <t>126</t>
  </si>
  <si>
    <t>   Тракторы</t>
  </si>
  <si>
    <t>127</t>
  </si>
  <si>
    <t>8701</t>
  </si>
  <si>
    <t>128</t>
  </si>
  <si>
    <t>129</t>
  </si>
  <si>
    <t>      из них тягачи седельные</t>
  </si>
  <si>
    <t>130</t>
  </si>
  <si>
    <t>8701120101, 8701120901</t>
  </si>
  <si>
    <t>         в том числе из стран:</t>
  </si>
  <si>
    <t>            СНГ</t>
  </si>
  <si>
    <t>131</t>
  </si>
  <si>
    <t>            других</t>
  </si>
  <si>
    <t>132</t>
  </si>
  <si>
    <t>   Автомобили легковые</t>
  </si>
  <si>
    <t>133</t>
  </si>
  <si>
    <t>8703</t>
  </si>
  <si>
    <t>134</t>
  </si>
  <si>
    <t>135</t>
  </si>
  <si>
    <t>   Автомобили грузовые</t>
  </si>
  <si>
    <t>136</t>
  </si>
  <si>
    <t>8704</t>
  </si>
  <si>
    <t>137</t>
  </si>
  <si>
    <t>138</t>
  </si>
  <si>
    <t>Примечание</t>
  </si>
  <si>
    <t>Примечания: 
1) Значность: по графам 1 и 2 - 9 знаков, в том числе один знак после запятой; по графам с 3 и 4 - 12 знаков, в том числе 1 знак после запятой.
2) В адрес Статкомитета СНГ представляются все уточненные данные в течение года после первой публикации с указанием даты внесения изменений.
3) Удельный вес рассчитывается к общему объему импорта страны, к общему объему импорта из стран СНГ и к общему объему из других стран мира.
4) Данные о импорте удобрений минеральных или химических, азотных представляются: в физическом весе и пересчете на 100% содержания питательного вещества.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</si>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</sst>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6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0" fontId="0" fillId="0" borderId="3" xfId="0" applyBorder="1"/>
    <xf numFmtId="0" fontId="0" fillId="0" borderId="3" xfId="0" applyBorder="1"/>
    <xf numFmtId="164" fontId="1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50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3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60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46053.452372685184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1"/>
  <sheetViews>
    <sheetView showGridLines="0" workbookViewId="0"/>
  </sheetViews>
  <sheetFormatPr defaultRowHeight="15" x14ac:dyDescent="0.25"/>
  <cols>
    <col min="1" max="1" width="101.5703125" customWidth="1"/>
    <col min="2" max="2" width="10" customWidth="1"/>
    <col min="20" max="20" width="250" customWidth="1"/>
  </cols>
  <sheetData>
    <row r="1" spans="1:20" ht="50.1" customHeight="1" x14ac:dyDescent="0.25">
      <c r="A1" s="60" t="s">
        <v>14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</row>
    <row r="2" spans="1:20" x14ac:dyDescent="0.25">
      <c r="A2" s="62" t="s">
        <v>15</v>
      </c>
      <c r="B2" s="62" t="s">
        <v>16</v>
      </c>
      <c r="C2" s="62" t="s">
        <v>17</v>
      </c>
      <c r="D2" s="62" t="s">
        <v>18</v>
      </c>
      <c r="E2" s="62" t="s">
        <v>19</v>
      </c>
      <c r="F2" s="62"/>
      <c r="G2" s="62" t="s">
        <v>20</v>
      </c>
      <c r="H2" s="62"/>
      <c r="I2" s="62" t="s">
        <v>21</v>
      </c>
      <c r="J2" s="62"/>
      <c r="K2" s="62" t="s">
        <v>22</v>
      </c>
      <c r="L2" s="62"/>
      <c r="M2" s="62" t="str">
        <f>"Темп ("&amp;YEAR(Титул!B8)+0&amp;" к "&amp;YEAR(Титул!B8)-1&amp;")"</f>
        <v>Темп (2026 к 2025)</v>
      </c>
      <c r="N2" s="62"/>
      <c r="O2" s="62"/>
      <c r="P2" s="62" t="s">
        <v>23</v>
      </c>
      <c r="Q2" s="62"/>
      <c r="R2" s="62" t="s">
        <v>24</v>
      </c>
      <c r="S2" s="62"/>
    </row>
    <row r="3" spans="1:20" x14ac:dyDescent="0.25">
      <c r="A3" s="62"/>
      <c r="B3" s="62"/>
      <c r="C3" s="62"/>
      <c r="D3" s="62"/>
      <c r="E3" s="62" t="str">
        <f>""&amp;YEAR(Титул!B8)+0&amp;""</f>
        <v>2026</v>
      </c>
      <c r="F3" s="62" t="str">
        <f>""&amp;YEAR(Титул!B8)-1&amp;""</f>
        <v>2025</v>
      </c>
      <c r="G3" s="62" t="str">
        <f>""&amp;YEAR(Титул!B8)+0&amp;""</f>
        <v>2026</v>
      </c>
      <c r="H3" s="62" t="str">
        <f>""&amp;YEAR(Титул!B8)-1&amp;""</f>
        <v>2025</v>
      </c>
      <c r="I3" s="62" t="str">
        <f>""&amp;YEAR(Титул!B8)+0&amp;""</f>
        <v>2026</v>
      </c>
      <c r="J3" s="62" t="str">
        <f>""&amp;YEAR(Титул!B8)-1&amp;""</f>
        <v>2025</v>
      </c>
      <c r="K3" s="62" t="str">
        <f>""&amp;YEAR(Титул!B8)+0&amp;""</f>
        <v>2026</v>
      </c>
      <c r="L3" s="62" t="str">
        <f>""&amp;YEAR(Титул!B8)-1&amp;""</f>
        <v>2025</v>
      </c>
      <c r="M3" s="1" t="s">
        <v>25</v>
      </c>
      <c r="N3" s="1" t="s">
        <v>26</v>
      </c>
      <c r="O3" s="1" t="s">
        <v>27</v>
      </c>
      <c r="P3" s="62" t="str">
        <f>""&amp;YEAR(Титул!B8)+0&amp;""</f>
        <v>2026</v>
      </c>
      <c r="Q3" s="62" t="str">
        <f>""&amp;YEAR(Титул!B8)-1&amp;""</f>
        <v>2025</v>
      </c>
      <c r="R3" s="62" t="s">
        <v>28</v>
      </c>
      <c r="S3" s="62"/>
    </row>
    <row r="4" spans="1:20" ht="30" x14ac:dyDescent="0.25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1" t="s">
        <v>29</v>
      </c>
      <c r="N4" s="1" t="s">
        <v>30</v>
      </c>
      <c r="O4" s="1" t="s">
        <v>31</v>
      </c>
      <c r="P4" s="62"/>
      <c r="Q4" s="62"/>
      <c r="R4" s="1" t="str">
        <f>""&amp;YEAR(Титул!B8)+0&amp;""</f>
        <v>2026</v>
      </c>
      <c r="S4" s="1" t="str">
        <f>""&amp;YEAR(Титул!B8)-1&amp;""</f>
        <v>2025</v>
      </c>
    </row>
    <row r="5" spans="1:20" x14ac:dyDescent="0.25">
      <c r="A5" s="62"/>
      <c r="B5" s="62"/>
      <c r="C5" s="62"/>
      <c r="D5" s="62"/>
      <c r="E5" s="1" t="s">
        <v>14</v>
      </c>
      <c r="F5" s="1" t="s">
        <v>32</v>
      </c>
      <c r="G5" s="1" t="s">
        <v>33</v>
      </c>
      <c r="H5" s="1" t="s">
        <v>34</v>
      </c>
      <c r="I5" s="1" t="s">
        <v>35</v>
      </c>
      <c r="J5" s="1" t="s">
        <v>36</v>
      </c>
      <c r="K5" s="1" t="s">
        <v>37</v>
      </c>
      <c r="L5" s="1" t="s">
        <v>38</v>
      </c>
      <c r="M5" s="1" t="s">
        <v>39</v>
      </c>
      <c r="N5" s="1" t="s">
        <v>40</v>
      </c>
      <c r="O5" s="1" t="s">
        <v>41</v>
      </c>
      <c r="P5" s="1" t="s">
        <v>42</v>
      </c>
      <c r="Q5" s="1" t="s">
        <v>43</v>
      </c>
      <c r="R5" s="1" t="s">
        <v>44</v>
      </c>
      <c r="S5" s="1" t="s">
        <v>45</v>
      </c>
    </row>
    <row r="6" spans="1:20" ht="45" customHeight="1" x14ac:dyDescent="0.25">
      <c r="A6" s="4" t="s">
        <v>46</v>
      </c>
      <c r="B6" s="2" t="s">
        <v>47</v>
      </c>
      <c r="C6" s="2" t="s">
        <v>1</v>
      </c>
      <c r="D6" s="2" t="s">
        <v>1</v>
      </c>
      <c r="E6" s="9"/>
      <c r="F6" s="10"/>
      <c r="G6" s="11"/>
      <c r="H6" s="11"/>
      <c r="I6" s="11"/>
      <c r="J6" s="11"/>
      <c r="K6" s="12"/>
      <c r="L6" s="12"/>
      <c r="M6" s="12"/>
      <c r="N6" s="12"/>
      <c r="O6" s="11"/>
      <c r="P6" s="11"/>
      <c r="Q6" s="11"/>
      <c r="R6" s="12"/>
      <c r="S6" s="12"/>
      <c r="T6" s="5" t="str">
        <f>IFERROR(IF(G6=ROUND(SUM(G8:G9),1)," "," Стр. 01, Гр. 3 [G6]  д.б. = [Окр(Сум(G8:G9),1)] {" &amp; ROUND(SUM(G8:G9),1) &amp; "}.")," ") &amp; IFERROR(IF(H6=ROUND(SUM(H8:H9),1)," "," Стр. 01, Гр. 4 [H6]  д.б. = [Окр(Сум(H8:H9),1)] {" &amp; ROUND(SUM(H8:H9),1) &amp; "}.")," ") &amp; IFERROR(IF(I6=ROUND(SUM(I8:I9),1)," "," Стр. 01, Гр. 5 [I6]  д.б. = [Окр(Сум(I8:I9),1)] {" &amp; ROUND(SUM(I8:I9),1) &amp; "}.")," ") &amp; IFERROR(IF(J6=ROUND(SUM(J8:J9),1)," "," Стр. 01, Гр. 6 [J6]  д.б. = [Окр(Сум(J8:J9),1)] {" &amp; ROUND(SUM(J8:J9),1) &amp; "}.")," ") &amp; IFERROR(IF(O6=ROUND(G6/H6*100,1)," "," Стр. 01, Гр. 11 [O6]  д.б. = [Окр(G6/H6*100,1)] {" &amp; ROUND(G6/H6*100,1) &amp; "}.")," ") &amp; IFERROR(IF(P6=ROUND(SUM(P8:P9),1)," "," Стр. 01, Гр. 12 [P6]  д.б. = [Окр(Сум(P8:P9),1)] {" &amp; ROUND(SUM(P8:P9),1) &amp; "}.")," ") &amp; IFERROR(IF(Q6=ROUND(SUM(Q8:Q9),1)," "," Стр. 01, Гр. 13 [Q6]  д.б. = [Окр(Сум(Q8:Q9),1)] {" &amp; ROUND(SUM(Q8:Q9),1) &amp; "}.")," ")</f>
        <v xml:space="preserve">       </v>
      </c>
    </row>
    <row r="7" spans="1:20" ht="45" customHeight="1" x14ac:dyDescent="0.25">
      <c r="A7" s="4" t="s">
        <v>48</v>
      </c>
      <c r="B7" s="2"/>
      <c r="C7" s="2" t="s">
        <v>1</v>
      </c>
      <c r="D7" s="2" t="s">
        <v>1</v>
      </c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</row>
    <row r="8" spans="1:20" ht="45" customHeight="1" x14ac:dyDescent="0.25">
      <c r="A8" s="4" t="s">
        <v>49</v>
      </c>
      <c r="B8" s="2" t="s">
        <v>50</v>
      </c>
      <c r="C8" s="2" t="s">
        <v>1</v>
      </c>
      <c r="D8" s="2" t="s">
        <v>1</v>
      </c>
      <c r="E8" s="13"/>
      <c r="F8" s="14"/>
      <c r="G8" s="12"/>
      <c r="H8" s="12"/>
      <c r="I8" s="11"/>
      <c r="J8" s="11"/>
      <c r="K8" s="12"/>
      <c r="L8" s="12"/>
      <c r="M8" s="12"/>
      <c r="N8" s="12"/>
      <c r="O8" s="11"/>
      <c r="P8" s="11"/>
      <c r="Q8" s="11"/>
      <c r="R8" s="12"/>
      <c r="S8" s="12"/>
      <c r="T8" s="5" t="str">
        <f>IFERROR(IF(I8=ROUND(G8/G6*100,1)," "," Стр. 02, Гр. 5 [I8]  д.б. = [Окр(G8/G6*100,1)] {" &amp; ROUND(G8/G6*100,1) &amp; "}.")," ") &amp; IFERROR(IF(J8=ROUND(H8/H6*100,1)," "," Стр. 02, Гр. 6 [J8]  д.б. = [Окр(H8/H6*100,1)] {" &amp; ROUND(H8/H6*100,1) &amp; "}.")," ") &amp; IFERROR(IF(O8=ROUND(G8/H8*100,1)," "," Стр. 02, Гр. 11 [O8]  д.б. = [Окр(G8/H8*100,1)] {" &amp; ROUND(G8/H8*100,1) &amp; "}.")," ") &amp; IFERROR(IF(P8=ROUND(G8/G6*100,1)," "," Стр. 02, Гр. 12 [P8]  д.б. = [Окр(G8/G6*100,1)] {" &amp; ROUND(G8/G6*100,1) &amp; "}.")," ") &amp; IFERROR(IF(Q8=ROUND(H8/H6*100,1)," "," Стр. 02, Гр. 13 [Q8]  д.б. = [Окр(H8/H6*100,1)] {" &amp; ROUND(H8/H6*100,1) &amp; "}.")," ")</f>
        <v xml:space="preserve">     </v>
      </c>
    </row>
    <row r="9" spans="1:20" ht="45" customHeight="1" x14ac:dyDescent="0.25">
      <c r="A9" s="4" t="s">
        <v>51</v>
      </c>
      <c r="B9" s="2" t="s">
        <v>52</v>
      </c>
      <c r="C9" s="2" t="s">
        <v>1</v>
      </c>
      <c r="D9" s="2" t="s">
        <v>1</v>
      </c>
      <c r="E9" s="15"/>
      <c r="F9" s="16"/>
      <c r="G9" s="12"/>
      <c r="H9" s="12"/>
      <c r="I9" s="11"/>
      <c r="J9" s="11"/>
      <c r="K9" s="12"/>
      <c r="L9" s="12"/>
      <c r="M9" s="12"/>
      <c r="N9" s="12"/>
      <c r="O9" s="11"/>
      <c r="P9" s="11"/>
      <c r="Q9" s="11"/>
      <c r="R9" s="12"/>
      <c r="S9" s="12"/>
      <c r="T9" s="5" t="str">
        <f>IFERROR(IF(I9=ROUND(G9/G6*100,1)," "," Стр. 03, Гр. 5 [I9]  д.б. = [Окр(G9/G6*100,1)] {" &amp; ROUND(G9/G6*100,1) &amp; "}.")," ") &amp; IFERROR(IF(J9=ROUND(H9/H6*100,1)," "," Стр. 03, Гр. 6 [J9]  д.б. = [Окр(H9/H6*100,1)] {" &amp; ROUND(H9/H6*100,1) &amp; "}.")," ") &amp; IFERROR(IF(O9=ROUND(G9/H9*100,1)," "," Стр. 03, Гр. 11 [O9]  д.б. = [Окр(G9/H9*100,1)] {" &amp; ROUND(G9/H9*100,1) &amp; "}.")," ") &amp; IFERROR(IF(P9=ROUND(G9/G6*100,1)," "," Стр. 03, Гр. 12 [P9]  д.б. = [Окр(G9/G6*100,1)] {" &amp; ROUND(G9/G6*100,1) &amp; "}.")," ") &amp; IFERROR(IF(Q9=ROUND(H9/H6*100,1)," "," Стр. 03, Гр. 13 [Q9]  д.б. = [Окр(H9/H6*100,1)] {" &amp; ROUND(H9/H6*100,1) &amp; "}.")," ")</f>
        <v xml:space="preserve">     </v>
      </c>
    </row>
    <row r="10" spans="1:20" ht="45" customHeight="1" x14ac:dyDescent="0.25">
      <c r="A10" s="3" t="s">
        <v>53</v>
      </c>
      <c r="B10" s="1"/>
      <c r="C10" s="1" t="s">
        <v>1</v>
      </c>
      <c r="D10" s="1" t="s">
        <v>1</v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</row>
    <row r="11" spans="1:20" ht="45" customHeight="1" x14ac:dyDescent="0.25">
      <c r="A11" s="3" t="s">
        <v>54</v>
      </c>
      <c r="B11" s="1" t="s">
        <v>55</v>
      </c>
      <c r="C11" s="1" t="s">
        <v>50</v>
      </c>
      <c r="D11" s="1" t="s">
        <v>56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5" t="str">
        <f>IFERROR(IF(E11=ROUND(SUM(E13:E14),1)," "," Стр. 04, Гр. 1 [E11]  д.б. = [Окр(Сум(E13:E14),1)] {" &amp; ROUND(SUM(E13:E14),1) &amp; "}.")," ") &amp; IFERROR(IF(F11=ROUND(SUM(F13:F14),1)," "," Стр. 04, Гр. 2 [F11]  д.б. = [Окр(Сум(F13:F14),1)] {" &amp; ROUND(SUM(F13:F14),1) &amp; "}.")," ") &amp; IFERROR(IF(G11=ROUND(SUM(G13:G14),1)," "," Стр. 04, Гр. 3 [G11]  д.б. = [Окр(Сум(G13:G14),1)] {" &amp; ROUND(SUM(G13:G14),1) &amp; "}.")," ") &amp; IFERROR(IF(H11=ROUND(SUM(H13:H14),1)," "," Стр. 04, Гр. 4 [H11]  д.б. = [Окр(Сум(H13:H14),1)] {" &amp; ROUND(SUM(H13:H14),1) &amp; "}.")," ") &amp; IFERROR(IF(I11=ROUND(G11/G6*100,1)," "," Стр. 04, Гр. 5 [I11]  д.б. = [Окр(G11/G6*100,1)] {" &amp; ROUND(G11/G6*100,1) &amp; "}.")," ") &amp; IFERROR(IF(J11=ROUND(H11/H6*100,1)," "," Стр. 04, Гр. 6 [J11]  д.б. = [Окр(H11/H6*100,1)] {" &amp; ROUND(H11/H6*100,1) &amp; "}.")," ") &amp; IFERROR(IF(K11=ROUND(G11/E11*1000,1)," "," Стр. 04, Гр. 7 [K11]  д.б. = [Окр(G11/E11*1000,1)] {" &amp; ROUND(G11/E11*1000,1) &amp; "}.")," ") &amp; IFERROR(IF(L11=ROUND(H11/F11*1000,1)," "," Стр. 04, Гр. 8 [L11]  д.б. = [Окр(H11/F11*1000,1)] {" &amp; ROUND(H11/F11*1000,1) &amp; "}.")," ") &amp; IFERROR(IF(M11=ROUND(K11/L11*100,1)," "," Стр. 04, Гр. 9 [M11]  д.б. = [Окр(K11/L11*100,1)] {" &amp; ROUND(K11/L11*100,1) &amp; "}.")," ") &amp; IFERROR(IF(N11=ROUND(E11/F11*100,1)," "," Стр. 04, Гр. 10 [N11]  д.б. = [Окр(E11/F11*100,1)] {" &amp; ROUND(E11/F11*100,1) &amp; "}.")," ") &amp; IFERROR(IF(O11=ROUND(G11/H11*100,1)," "," Стр. 04, Гр. 11 [O11]  д.б. = [Окр(G11/H11*100,1)] {" &amp; ROUND(G11/H11*100,1) &amp; "}.")," ") &amp; IFERROR(IF(P11=ROUND(SUM(P13:P14),1)," "," Стр. 04, Гр. 12 [P11]  д.б. = [Окр(Сум(P13:P14),1)] {" &amp; ROUND(SUM(P13:P14),1) &amp; "}.")," ") &amp; IFERROR(IF(Q11=ROUND(SUM(Q13:Q14),1)," "," Стр. 04, Гр. 13 [Q11]  д.б. = [Окр(Сум(Q13:Q14),1)] {" &amp; ROUND(SUM(Q13:Q14),1) &amp; "}.")," ")</f>
        <v xml:space="preserve">             </v>
      </c>
    </row>
    <row r="12" spans="1:20" ht="45" customHeight="1" x14ac:dyDescent="0.25">
      <c r="A12" s="3" t="s">
        <v>57</v>
      </c>
      <c r="B12" s="1"/>
      <c r="C12" s="1" t="s">
        <v>1</v>
      </c>
      <c r="D12" s="1" t="s">
        <v>1</v>
      </c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</row>
    <row r="13" spans="1:20" ht="45" customHeight="1" x14ac:dyDescent="0.25">
      <c r="A13" s="3" t="s">
        <v>58</v>
      </c>
      <c r="B13" s="1" t="s">
        <v>59</v>
      </c>
      <c r="C13" s="1" t="s">
        <v>1</v>
      </c>
      <c r="D13" s="1" t="s">
        <v>1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5" t="str">
        <f>IFERROR(IF(I13=ROUND(G13/G8*100,1)," "," Стр. 05, Гр. 5 [I13]  д.б. = [Окр(G13/G8*100,1)] {" &amp; ROUND(G13/G8*100,1) &amp; "}.")," ") &amp; IFERROR(IF(J13=ROUND(H13/H8*100,1)," "," Стр. 05, Гр. 6 [J13]  д.б. = [Окр(H13/H8*100,1)] {" &amp; ROUND(H13/H8*100,1) &amp; "}.")," ") &amp; IFERROR(IF(K13=ROUND(G13/E13*1000,1)," "," Стр. 05, Гр. 7 [K13]  д.б. = [Окр(G13/E13*1000,1)] {" &amp; ROUND(G13/E13*1000,1) &amp; "}.")," ") &amp; IFERROR(IF(L13=ROUND(H13/F13*1000,1)," "," Стр. 05, Гр. 8 [L13]  д.б. = [Окр(H13/F13*1000,1)] {" &amp; ROUND(H13/F13*1000,1) &amp; "}.")," ") &amp; IFERROR(IF(M13=ROUND(K13/L13*100,1)," "," Стр. 05, Гр. 9 [M13]  д.б. = [Окр(K13/L13*100,1)] {" &amp; ROUND(K13/L13*100,1) &amp; "}.")," ") &amp; IFERROR(IF(N13=ROUND(E13/F13*100,1)," "," Стр. 05, Гр. 10 [N13]  д.б. = [Окр(E13/F13*100,1)] {" &amp; ROUND(E13/F13*100,1) &amp; "}.")," ") &amp; IFERROR(IF(O13=ROUND(G13/H13*100,1)," "," Стр. 05, Гр. 11 [O13]  д.б. = [Окр(G13/H13*100,1)] {" &amp; ROUND(G13/H13*100,1) &amp; "}.")," ") &amp; IFERROR(IF(P13=ROUND(E13/E11*100,1)," "," Стр. 05, Гр. 12 [P13]  д.б. = [Окр(E13/E11*100,1)] {" &amp; ROUND(E13/E11*100,1) &amp; "}.")," ") &amp; IFERROR(IF(Q13=ROUND(F13/F11*100,1)," "," Стр. 05, Гр. 13 [Q13]  д.б. = [Окр(F13/F11*100,1)] {" &amp; ROUND(F13/F11*100,1) &amp; "}.")," ") &amp; IFERROR(IF(R13=ROUND(K13/K14*100,1)," "," Стр. 05, Гр. 14 [R13]  д.б. = [Окр(K13/K14*100,1)] {" &amp; ROUND(K13/K14*100,1) &amp; "}.")," ") &amp; IFERROR(IF(S13=ROUND(L13/L14*100,1)," "," Стр. 05, Гр. 15 [S13]  д.б. = [Окр(L13/L14*100,1)] {" &amp; ROUND(L13/L14*100,1) &amp; "}.")," ")</f>
        <v xml:space="preserve">           </v>
      </c>
    </row>
    <row r="14" spans="1:20" ht="45" customHeight="1" x14ac:dyDescent="0.25">
      <c r="A14" s="3" t="s">
        <v>60</v>
      </c>
      <c r="B14" s="1" t="s">
        <v>61</v>
      </c>
      <c r="C14" s="1" t="s">
        <v>1</v>
      </c>
      <c r="D14" s="1" t="s">
        <v>1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5" t="str">
        <f>IFERROR(IF(I14=ROUND(G14/G9*100,1)," "," Стр. 06, Гр. 5 [I14]  д.б. = [Окр(G14/G9*100,1)] {" &amp; ROUND(G14/G9*100,1) &amp; "}.")," ") &amp; IFERROR(IF(J14=ROUND(H14/H9*100,1)," "," Стр. 06, Гр. 6 [J14]  д.б. = [Окр(H14/H9*100,1)] {" &amp; ROUND(H14/H9*100,1) &amp; "}.")," ") &amp; IFERROR(IF(K14=ROUND(G14/E14*1000,1)," "," Стр. 06, Гр. 7 [K14]  д.б. = [Окр(G14/E14*1000,1)] {" &amp; ROUND(G14/E14*1000,1) &amp; "}.")," ") &amp; IFERROR(IF(L14=ROUND(H14/F14*1000,1)," "," Стр. 06, Гр. 8 [L14]  д.б. = [Окр(H14/F14*1000,1)] {" &amp; ROUND(H14/F14*1000,1) &amp; "}.")," ") &amp; IFERROR(IF(M14=ROUND(K14/L14*100,1)," "," Стр. 06, Гр. 9 [M14]  д.б. = [Окр(K14/L14*100,1)] {" &amp; ROUND(K14/L14*100,1) &amp; "}.")," ") &amp; IFERROR(IF(N14=ROUND(E14/F14*100,1)," "," Стр. 06, Гр. 10 [N14]  д.б. = [Окр(E14/F14*100,1)] {" &amp; ROUND(E14/F14*100,1) &amp; "}.")," ") &amp; IFERROR(IF(O14=ROUND(G14/H14*100,1)," "," Стр. 06, Гр. 11 [O14]  д.б. = [Окр(G14/H14*100,1)] {" &amp; ROUND(G14/H14*100,1) &amp; "}.")," ") &amp; IFERROR(IF(P14=ROUND(E14/E11*100,1)," "," Стр. 06, Гр. 12 [P14]  д.б. = [Окр(E14/E11*100,1)] {" &amp; ROUND(E14/E11*100,1) &amp; "}.")," ") &amp; IFERROR(IF(Q14=ROUND(F14/F11*100,1)," "," Стр. 06, Гр. 13 [Q14]  д.б. = [Окр(F14/F11*100,1)] {" &amp; ROUND(F14/F11*100,1) &amp; "}.")," ") &amp; IFERROR(IF(R14=ROUND(K14/K13*100,1)," "," Стр. 06, Гр. 14 [R14]  д.б. = [Окр(K14/K13*100,1)] {" &amp; ROUND(K14/K13*100,1) &amp; "}.")," ") &amp; IFERROR(IF(S14=ROUND(L14/L13*100,1)," "," Стр. 06, Гр. 15 [S14]  д.б. = [Окр(L14/L13*100,1)] {" &amp; ROUND(L14/L13*100,1) &amp; "}.")," ")</f>
        <v xml:space="preserve">           </v>
      </c>
    </row>
    <row r="15" spans="1:20" ht="45" customHeight="1" x14ac:dyDescent="0.25">
      <c r="A15" s="3" t="s">
        <v>62</v>
      </c>
      <c r="B15" s="1" t="s">
        <v>63</v>
      </c>
      <c r="C15" s="1" t="s">
        <v>64</v>
      </c>
      <c r="D15" s="1" t="s">
        <v>56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5" t="str">
        <f>IFERROR(IF(E15=ROUND(SUM(E17:E18),1)," "," Стр. 07, Гр. 1 [E15]  д.б. = [Окр(Сум(E17:E18),1)] {" &amp; ROUND(SUM(E17:E18),1) &amp; "}.")," ") &amp; IFERROR(IF(F15=ROUND(SUM(F17:F18),1)," "," Стр. 07, Гр. 2 [F15]  д.б. = [Окр(Сум(F17:F18),1)] {" &amp; ROUND(SUM(F17:F18),1) &amp; "}.")," ") &amp; IFERROR(IF(G15=ROUND(SUM(G17:G18),1)," "," Стр. 07, Гр. 3 [G15]  д.б. = [Окр(Сум(G17:G18),1)] {" &amp; ROUND(SUM(G17:G18),1) &amp; "}.")," ") &amp; IFERROR(IF(J15=ROUND(H15/H6*100,1)," "," Стр. 07, Гр. 6 [J15]  д.б. = [Окр(H15/H6*100,1)] {" &amp; ROUND(H15/H6*100,1) &amp; "}.")," ") &amp; IFERROR(IF(K15=ROUND(G15/E15*1000,1)," "," Стр. 07, Гр. 7 [K15]  д.б. = [Окр(G15/E15*1000,1)] {" &amp; ROUND(G15/E15*1000,1) &amp; "}.")," ") &amp; IFERROR(IF(L15=ROUND(H15/F15*1000,1)," "," Стр. 07, Гр. 8 [L15]  д.б. = [Окр(H15/F15*1000,1)] {" &amp; ROUND(H15/F15*1000,1) &amp; "}.")," ") &amp; IFERROR(IF(M15=ROUND(K15/L15*100,1)," "," Стр. 07, Гр. 9 [M15]  д.б. = [Окр(K15/L15*100,1)] {" &amp; ROUND(K15/L15*100,1) &amp; "}.")," ") &amp; IFERROR(IF(N15=ROUND(E15/F15*100,1)," "," Стр. 07, Гр. 10 [N15]  д.б. = [Окр(E15/F15*100,1)] {" &amp; ROUND(E15/F15*100,1) &amp; "}.")," ") &amp; IFERROR(IF(O15=ROUND(G15/H15*100,1)," "," Стр. 07, Гр. 11 [O15]  д.б. = [Окр(G15/H15*100,1)] {" &amp; ROUND(G15/H15*100,1) &amp; "}.")," ") &amp; IFERROR(IF(P15=ROUND(SUM(P17:P18),1)," "," Стр. 07, Гр. 12 [P15]  д.б. = [Окр(Сум(P17:P18),1)] {" &amp; ROUND(SUM(P17:P18),1) &amp; "}.")," ") &amp; IFERROR(IF(Q15=ROUND(SUM(Q17:Q18),1)," "," Стр. 07, Гр. 13 [Q15]  д.б. = [Окр(Сум(Q17:Q18),1)] {" &amp; ROUND(SUM(Q17:Q18),1) &amp; "}.")," ")</f>
        <v xml:space="preserve">           </v>
      </c>
    </row>
    <row r="16" spans="1:20" ht="45" customHeight="1" x14ac:dyDescent="0.25">
      <c r="A16" s="3" t="s">
        <v>57</v>
      </c>
      <c r="B16" s="1"/>
      <c r="C16" s="1" t="s">
        <v>1</v>
      </c>
      <c r="D16" s="1" t="s">
        <v>1</v>
      </c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</row>
    <row r="17" spans="1:20" ht="45" customHeight="1" x14ac:dyDescent="0.25">
      <c r="A17" s="3" t="s">
        <v>58</v>
      </c>
      <c r="B17" s="1" t="s">
        <v>65</v>
      </c>
      <c r="C17" s="1" t="s">
        <v>1</v>
      </c>
      <c r="D17" s="1" t="s">
        <v>1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5" t="str">
        <f>IFERROR(IF(I17=ROUND(G17/G8*100,1)," "," Стр. 08, Гр. 5 [I17]  д.б. = [Окр(G17/G8*100,1)] {" &amp; ROUND(G17/G8*100,1) &amp; "}.")," ") &amp; IFERROR(IF(J17=ROUND(H17/H8*100,1)," "," Стр. 08, Гр. 6 [J17]  д.б. = [Окр(H17/H8*100,1)] {" &amp; ROUND(H17/H8*100,1) &amp; "}.")," ") &amp; IFERROR(IF(K17=ROUND(G17/E17*1000,1)," "," Стр. 08, Гр. 7 [K17]  д.б. = [Окр(G17/E17*1000,1)] {" &amp; ROUND(G17/E17*1000,1) &amp; "}.")," ") &amp; IFERROR(IF(L17=ROUND(H17/F17*1000,1)," "," Стр. 08, Гр. 8 [L17]  д.б. = [Окр(H17/F17*1000,1)] {" &amp; ROUND(H17/F17*1000,1) &amp; "}.")," ") &amp; IFERROR(IF(M17=ROUND(K17/L17*100,1)," "," Стр. 08, Гр. 9 [M17]  д.б. = [Окр(K17/L17*100,1)] {" &amp; ROUND(K17/L17*100,1) &amp; "}.")," ") &amp; IFERROR(IF(N17=ROUND(E17/F17*100,1)," "," Стр. 08, Гр. 10 [N17]  д.б. = [Окр(E17/F17*100,1)] {" &amp; ROUND(E17/F17*100,1) &amp; "}.")," ") &amp; IFERROR(IF(O17=ROUND(G17/H17*100,1)," "," Стр. 08, Гр. 11 [O17]  д.б. = [Окр(G17/H17*100,1)] {" &amp; ROUND(G17/H17*100,1) &amp; "}.")," ") &amp; IFERROR(IF(P17=ROUND(E17/E15*100,1)," "," Стр. 08, Гр. 12 [P17]  д.б. = [Окр(E17/E15*100,1)] {" &amp; ROUND(E17/E15*100,1) &amp; "}.")," ") &amp; IFERROR(IF(Q17=ROUND(F17/F15*100,1)," "," Стр. 08, Гр. 13 [Q17]  д.б. = [Окр(F17/F15*100,1)] {" &amp; ROUND(F17/F15*100,1) &amp; "}.")," ") &amp; IFERROR(IF(R17=ROUND(K17/K18*100,1)," "," Стр. 08, Гр. 14 [R17]  д.б. = [Окр(K17/K18*100,1)] {" &amp; ROUND(K17/K18*100,1) &amp; "}.")," ") &amp; IFERROR(IF(S17=ROUND(L17/L18*100,1)," "," Стр. 08, Гр. 15 [S17]  д.б. = [Окр(L17/L18*100,1)] {" &amp; ROUND(L17/L18*100,1) &amp; "}.")," ")</f>
        <v xml:space="preserve">           </v>
      </c>
    </row>
    <row r="18" spans="1:20" ht="45" customHeight="1" x14ac:dyDescent="0.25">
      <c r="A18" s="3" t="s">
        <v>60</v>
      </c>
      <c r="B18" s="1" t="s">
        <v>66</v>
      </c>
      <c r="C18" s="1" t="s">
        <v>1</v>
      </c>
      <c r="D18" s="1" t="s">
        <v>1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5" t="str">
        <f>IFERROR(IF(I18=ROUND(G18/G9*100,1)," "," Стр. 09, Гр. 5 [I18]  д.б. = [Окр(G18/G9*100,1)] {" &amp; ROUND(G18/G9*100,1) &amp; "}.")," ") &amp; IFERROR(IF(J18=ROUND(H18/H9*100,1)," "," Стр. 09, Гр. 6 [J18]  д.б. = [Окр(H18/H9*100,1)] {" &amp; ROUND(H18/H9*100,1) &amp; "}.")," ") &amp; IFERROR(IF(K18=ROUND(G18/E18*1000,1)," "," Стр. 09, Гр. 7 [K18]  д.б. = [Окр(G18/E18*1000,1)] {" &amp; ROUND(G18/E18*1000,1) &amp; "}.")," ") &amp; IFERROR(IF(L18=ROUND(H18/F18*1000,1)," "," Стр. 09, Гр. 8 [L18]  д.б. = [Окр(H18/F18*1000,1)] {" &amp; ROUND(H18/F18*1000,1) &amp; "}.")," ") &amp; IFERROR(IF(M18=ROUND(K18/L18*100,1)," "," Стр. 09, Гр. 9 [M18]  д.б. = [Окр(K18/L18*100,1)] {" &amp; ROUND(K18/L18*100,1) &amp; "}.")," ") &amp; IFERROR(IF(N18=ROUND(E18/F18*100,1)," "," Стр. 09, Гр. 10 [N18]  д.б. = [Окр(E18/F18*100,1)] {" &amp; ROUND(E18/F18*100,1) &amp; "}.")," ") &amp; IFERROR(IF(O18=ROUND(G18/H18*100,1)," "," Стр. 09, Гр. 11 [O18]  д.б. = [Окр(G18/H18*100,1)] {" &amp; ROUND(G18/H18*100,1) &amp; "}.")," ") &amp; IFERROR(IF(P18=ROUND(E18/E15*100,1)," "," Стр. 09, Гр. 12 [P18]  д.б. = [Окр(E18/E15*100,1)] {" &amp; ROUND(E18/E15*100,1) &amp; "}.")," ") &amp; IFERROR(IF(Q18=ROUND(F18/F15*100,1)," "," Стр. 09, Гр. 13 [Q18]  д.б. = [Окр(F18/F15*100,1)] {" &amp; ROUND(F18/F15*100,1) &amp; "}.")," ") &amp; IFERROR(IF(R18=ROUND(K18/K17*100,1)," "," Стр. 09, Гр. 14 [R18]  д.б. = [Окр(K18/K17*100,1)] {" &amp; ROUND(K18/K17*100,1) &amp; "}.")," ") &amp; IFERROR(IF(S18=ROUND(L18/L17*100,1)," "," Стр. 09, Гр. 15 [S18]  д.б. = [Окр(L18/L17*100,1)] {" &amp; ROUND(L18/L17*100,1) &amp; "}.")," ")</f>
        <v xml:space="preserve">           </v>
      </c>
    </row>
    <row r="19" spans="1:20" ht="45" customHeight="1" x14ac:dyDescent="0.25">
      <c r="A19" s="3" t="s">
        <v>67</v>
      </c>
      <c r="B19" s="1" t="s">
        <v>40</v>
      </c>
      <c r="C19" s="1" t="s">
        <v>68</v>
      </c>
      <c r="D19" s="1" t="s">
        <v>56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5" t="str">
        <f>IFERROR(IF(E19=ROUND(SUM(E21:E22),1)," "," Стр. 10, Гр. 1 [E19]  д.б. = [Окр(Сум(E21:E22),1)] {" &amp; ROUND(SUM(E21:E22),1) &amp; "}.")," ") &amp; IFERROR(IF(F19=ROUND(SUM(F21:F22),1)," "," Стр. 10, Гр. 2 [F19]  д.б. = [Окр(Сум(F21:F22),1)] {" &amp; ROUND(SUM(F21:F22),1) &amp; "}.")," ") &amp; IFERROR(IF(G19=ROUND(SUM(G21:G22),1)," "," Стр. 10, Гр. 3 [G19]  д.б. = [Окр(Сум(G21:G22),1)] {" &amp; ROUND(SUM(G21:G22),1) &amp; "}.")," ") &amp; IFERROR(IF(H19=ROUND(SUM(H21:H22),1)," "," Стр. 10, Гр. 4 [H19]  д.б. = [Окр(Сум(H21:H22),1)] {" &amp; ROUND(SUM(H21:H22),1) &amp; "}.")," ") &amp; IFERROR(IF(I19=ROUND(G19/G6*100,1)," "," Стр. 10, Гр. 5 [I19]  д.б. = [Окр(G19/G6*100,1)] {" &amp; ROUND(G19/G6*100,1) &amp; "}.")," ") &amp; IFERROR(IF(J19=ROUND(H19/H6*100,1)," "," Стр. 10, Гр. 6 [J19]  д.б. = [Окр(H19/H6*100,1)] {" &amp; ROUND(H19/H6*100,1) &amp; "}.")," ") &amp; IFERROR(IF(K19=ROUND(G19/E19*1000,1)," "," Стр. 10, Гр. 7 [K19]  д.б. = [Окр(G19/E19*1000,1)] {" &amp; ROUND(G19/E19*1000,1) &amp; "}.")," ") &amp; IFERROR(IF(L19=ROUND(H19/F19*1000,1)," "," Стр. 10, Гр. 8 [L19]  д.б. = [Окр(H19/F19*1000,1)] {" &amp; ROUND(H19/F19*1000,1) &amp; "}.")," ") &amp; IFERROR(IF(M19=ROUND(K19/L19*100,1)," "," Стр. 10, Гр. 9 [M19]  д.б. = [Окр(K19/L19*100,1)] {" &amp; ROUND(K19/L19*100,1) &amp; "}.")," ") &amp; IFERROR(IF(N19=ROUND(E19/F19*100,1)," "," Стр. 10, Гр. 10 [N19]  д.б. = [Окр(E19/F19*100,1)] {" &amp; ROUND(E19/F19*100,1) &amp; "}.")," ") &amp; IFERROR(IF(O19=ROUND(G19/H19*100,1)," "," Стр. 10, Гр. 11 [O19]  д.б. = [Окр(G19/H19*100,1)] {" &amp; ROUND(G19/H19*100,1) &amp; "}.")," ") &amp; IFERROR(IF(P19=ROUND(SUM(P21:P22),1)," "," Стр. 10, Гр. 12 [P19]  д.б. = [Окр(Сум(P21:P22),1)] {" &amp; ROUND(SUM(P21:P22),1) &amp; "}.")," ") &amp; IFERROR(IF(Q19=ROUND(SUM(Q21:Q22),1)," "," Стр. 10, Гр. 13 [Q19]  д.б. = [Окр(Сум(Q21:Q22),1)] {" &amp; ROUND(SUM(Q21:Q22),1) &amp; "}.")," ")</f>
        <v xml:space="preserve">             </v>
      </c>
    </row>
    <row r="20" spans="1:20" ht="45" customHeight="1" x14ac:dyDescent="0.25">
      <c r="A20" s="3" t="s">
        <v>57</v>
      </c>
      <c r="B20" s="1"/>
      <c r="C20" s="1" t="s">
        <v>1</v>
      </c>
      <c r="D20" s="1" t="s">
        <v>1</v>
      </c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</row>
    <row r="21" spans="1:20" ht="45" customHeight="1" x14ac:dyDescent="0.25">
      <c r="A21" s="3" t="s">
        <v>58</v>
      </c>
      <c r="B21" s="1" t="s">
        <v>41</v>
      </c>
      <c r="C21" s="1" t="s">
        <v>1</v>
      </c>
      <c r="D21" s="1" t="s">
        <v>1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5" t="str">
        <f>IFERROR(IF(I21=ROUND(G21/G8*100,1)," "," Стр. 11, Гр. 5 [I21]  д.б. = [Окр(G21/G8*100,1)] {" &amp; ROUND(G21/G8*100,1) &amp; "}.")," ") &amp; IFERROR(IF(J21=ROUND(H21/H8*100,1)," "," Стр. 11, Гр. 6 [J21]  д.б. = [Окр(H21/H8*100,1)] {" &amp; ROUND(H21/H8*100,1) &amp; "}.")," ") &amp; IFERROR(IF(K21=ROUND(G21/E21*1000,1)," "," Стр. 11, Гр. 7 [K21]  д.б. = [Окр(G21/E21*1000,1)] {" &amp; ROUND(G21/E21*1000,1) &amp; "}.")," ") &amp; IFERROR(IF(L21=ROUND(H21/F21*1000,1)," "," Стр. 11, Гр. 8 [L21]  д.б. = [Окр(H21/F21*1000,1)] {" &amp; ROUND(H21/F21*1000,1) &amp; "}.")," ") &amp; IFERROR(IF(M21=ROUND(K21/L21*100,1)," "," Стр. 11, Гр. 9 [M21]  д.б. = [Окр(K21/L21*100,1)] {" &amp; ROUND(K21/L21*100,1) &amp; "}.")," ") &amp; IFERROR(IF(N21=ROUND(E21/F21*100,1)," "," Стр. 11, Гр. 10 [N21]  д.б. = [Окр(E21/F21*100,1)] {" &amp; ROUND(E21/F21*100,1) &amp; "}.")," ") &amp; IFERROR(IF(O21=ROUND(G21/H21*100,1)," "," Стр. 11, Гр. 11 [O21]  д.б. = [Окр(G21/H21*100,1)] {" &amp; ROUND(G21/H21*100,1) &amp; "}.")," ") &amp; IFERROR(IF(P21=ROUND(E21/E19*100,1)," "," Стр. 11, Гр. 12 [P21]  д.б. = [Окр(E21/E19*100,1)] {" &amp; ROUND(E21/E19*100,1) &amp; "}.")," ") &amp; IFERROR(IF(Q21=ROUND(F21/F19*100,1)," "," Стр. 11, Гр. 13 [Q21]  д.б. = [Окр(F21/F19*100,1)] {" &amp; ROUND(F21/F19*100,1) &amp; "}.")," ") &amp; IFERROR(IF(R21=ROUND(K21/K22*100,1)," "," Стр. 11, Гр. 14 [R21]  д.б. = [Окр(K21/K22*100,1)] {" &amp; ROUND(K21/K22*100,1) &amp; "}.")," ") &amp; IFERROR(IF(S21=ROUND(L21/L22*100,1)," "," Стр. 11, Гр. 15 [S21]  д.б. = [Окр(L21/L22*100,1)] {" &amp; ROUND(L21/L22*100,1) &amp; "}.")," ")</f>
        <v xml:space="preserve">           </v>
      </c>
    </row>
    <row r="22" spans="1:20" ht="45" customHeight="1" x14ac:dyDescent="0.25">
      <c r="A22" s="3" t="s">
        <v>60</v>
      </c>
      <c r="B22" s="1" t="s">
        <v>69</v>
      </c>
      <c r="C22" s="1" t="s">
        <v>1</v>
      </c>
      <c r="D22" s="1" t="s">
        <v>1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5" t="str">
        <f>IFERROR(IF(I22=ROUND(G22/G9*100,1)," "," Стр. 12, Гр. 5 [I22]  д.б. = [Окр(G22/G9*100,1)] {" &amp; ROUND(G22/G9*100,1) &amp; "}.")," ") &amp; IFERROR(IF(J22=ROUND(H22/H9*100,1)," "," Стр. 12, Гр. 6 [J22]  д.б. = [Окр(H22/H9*100,1)] {" &amp; ROUND(H22/H9*100,1) &amp; "}.")," ") &amp; IFERROR(IF(K22=ROUND(G22/E22*1000,1)," "," Стр. 12, Гр. 7 [K22]  д.б. = [Окр(G22/E22*1000,1)] {" &amp; ROUND(G22/E22*1000,1) &amp; "}.")," ") &amp; IFERROR(IF(L22=ROUND(H22/F22*1000,1)," "," Стр. 12, Гр. 8 [L22]  д.б. = [Окр(H22/F22*1000,1)] {" &amp; ROUND(H22/F22*1000,1) &amp; "}.")," ") &amp; IFERROR(IF(M22=ROUND(K22/L22*100,1)," "," Стр. 12, Гр. 9 [M22]  д.б. = [Окр(K22/L22*100,1)] {" &amp; ROUND(K22/L22*100,1) &amp; "}.")," ") &amp; IFERROR(IF(N22=ROUND(E22/F22*100,1)," "," Стр. 12, Гр. 10 [N22]  д.б. = [Окр(E22/F22*100,1)] {" &amp; ROUND(E22/F22*100,1) &amp; "}.")," ") &amp; IFERROR(IF(O22=ROUND(G22/H22*100,1)," "," Стр. 12, Гр. 11 [O22]  д.б. = [Окр(G22/H22*100,1)] {" &amp; ROUND(G22/H22*100,1) &amp; "}.")," ") &amp; IFERROR(IF(P22=ROUND(E22/E19*100,1)," "," Стр. 12, Гр. 12 [P22]  д.б. = [Окр(E22/E19*100,1)] {" &amp; ROUND(E22/E19*100,1) &amp; "}.")," ") &amp; IFERROR(IF(Q22=ROUND(F22/F19*100,1)," "," Стр. 12, Гр. 13 [Q22]  д.б. = [Окр(F22/F19*100,1)] {" &amp; ROUND(F22/F19*100,1) &amp; "}.")," ") &amp; IFERROR(IF(R22=ROUND(K22/K21*100,1)," "," Стр. 12, Гр. 14 [R22]  д.б. = [Окр(K22/K21*100,1)] {" &amp; ROUND(K22/K21*100,1) &amp; "}.")," ") &amp; IFERROR(IF(S22=ROUND(L22/L21*100,1)," "," Стр. 12, Гр. 15 [S22]  д.б. = [Окр(L22/L21*100,1)] {" &amp; ROUND(L22/L21*100,1) &amp; "}.")," ")</f>
        <v xml:space="preserve">           </v>
      </c>
    </row>
    <row r="23" spans="1:20" ht="45" customHeight="1" x14ac:dyDescent="0.25">
      <c r="A23" s="3" t="s">
        <v>70</v>
      </c>
      <c r="B23" s="1" t="s">
        <v>71</v>
      </c>
      <c r="C23" s="1" t="s">
        <v>72</v>
      </c>
      <c r="D23" s="1" t="s">
        <v>56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5" t="str">
        <f>IFERROR(IF(E23=ROUND(SUM(E25:E26),1)," "," Стр. 13, Гр. 1 [E23]  д.б. = [Окр(Сум(E25:E26),1)] {" &amp; ROUND(SUM(E25:E26),1) &amp; "}.")," ") &amp; IFERROR(IF(F23=ROUND(SUM(F25:F26),1)," "," Стр. 13, Гр. 2 [F23]  д.б. = [Окр(Сум(F25:F26),1)] {" &amp; ROUND(SUM(F25:F26),1) &amp; "}.")," ") &amp; IFERROR(IF(G23=ROUND(SUM(G25:G26),1)," "," Стр. 13, Гр. 3 [G23]  д.б. = [Окр(Сум(G25:G26),1)] {" &amp; ROUND(SUM(G25:G26),1) &amp; "}.")," ") &amp; IFERROR(IF(H23=ROUND(SUM(H25:H26),1)," "," Стр. 13, Гр. 4 [H23]  д.б. = [Окр(Сум(H25:H26),1)] {" &amp; ROUND(SUM(H25:H26),1) &amp; "}.")," ") &amp; IFERROR(IF(I23=ROUND(G23/G6*100,1)," "," Стр. 13, Гр. 5 [I23]  д.б. = [Окр(G23/G6*100,1)] {" &amp; ROUND(G23/G6*100,1) &amp; "}.")," ") &amp; IFERROR(IF(J23=ROUND(H23/H6*100,1)," "," Стр. 13, Гр. 6 [J23]  д.б. = [Окр(H23/H6*100,1)] {" &amp; ROUND(H23/H6*100,1) &amp; "}.")," ") &amp; IFERROR(IF(K23=ROUND(G23/E23*1000,1)," "," Стр. 13, Гр. 7 [K23]  д.б. = [Окр(G23/E23*1000,1)] {" &amp; ROUND(G23/E23*1000,1) &amp; "}.")," ") &amp; IFERROR(IF(L23=ROUND(H23/F23*1000,1)," "," Стр. 13, Гр. 8 [L23]  д.б. = [Окр(H23/F23*1000,1)] {" &amp; ROUND(H23/F23*1000,1) &amp; "}.")," ") &amp; IFERROR(IF(M23=ROUND(K23/L23*100,1)," "," Стр. 13, Гр. 9 [M23]  д.б. = [Окр(K23/L23*100,1)] {" &amp; ROUND(K23/L23*100,1) &amp; "}.")," ") &amp; IFERROR(IF(N23=ROUND(E23/F23*100,1)," "," Стр. 13, Гр. 10 [N23]  д.б. = [Окр(E23/F23*100,1)] {" &amp; ROUND(E23/F23*100,1) &amp; "}.")," ") &amp; IFERROR(IF(O23=ROUND(G23/H23*100,1)," "," Стр. 13, Гр. 11 [O23]  д.б. = [Окр(G23/H23*100,1)] {" &amp; ROUND(G23/H23*100,1) &amp; "}.")," ") &amp; IFERROR(IF(P23=ROUND(SUM(P25:P26),1)," "," Стр. 13, Гр. 12 [P23]  д.б. = [Окр(Сум(P25:P26),1)] {" &amp; ROUND(SUM(P25:P26),1) &amp; "}.")," ") &amp; IFERROR(IF(Q23=ROUND(SUM(Q25:Q26),1)," "," Стр. 13, Гр. 13 [Q23]  д.б. = [Окр(Сум(Q25:Q26),1)] {" &amp; ROUND(SUM(Q25:Q26),1) &amp; "}.")," ")</f>
        <v xml:space="preserve">             </v>
      </c>
    </row>
    <row r="24" spans="1:20" ht="45" customHeight="1" x14ac:dyDescent="0.25">
      <c r="A24" s="3" t="s">
        <v>57</v>
      </c>
      <c r="B24" s="1"/>
      <c r="C24" s="1" t="s">
        <v>1</v>
      </c>
      <c r="D24" s="1" t="s">
        <v>1</v>
      </c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</row>
    <row r="25" spans="1:20" ht="45" customHeight="1" x14ac:dyDescent="0.25">
      <c r="A25" s="3" t="s">
        <v>58</v>
      </c>
      <c r="B25" s="1" t="s">
        <v>44</v>
      </c>
      <c r="C25" s="1" t="s">
        <v>1</v>
      </c>
      <c r="D25" s="1" t="s">
        <v>1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5" t="str">
        <f>IFERROR(IF(I25=ROUND(G25/G8*100,1)," "," Стр. 14, Гр. 5 [I25]  д.б. = [Окр(G25/G8*100,1)] {" &amp; ROUND(G25/G8*100,1) &amp; "}.")," ") &amp; IFERROR(IF(J25=ROUND(H25/H8*100,1)," "," Стр. 14, Гр. 6 [J25]  д.б. = [Окр(H25/H8*100,1)] {" &amp; ROUND(H25/H8*100,1) &amp; "}.")," ") &amp; IFERROR(IF(K25=ROUND(G25/E25*1000,1)," "," Стр. 14, Гр. 7 [K25]  д.б. = [Окр(G25/E25*1000,1)] {" &amp; ROUND(G25/E25*1000,1) &amp; "}.")," ") &amp; IFERROR(IF(L25=ROUND(H25/F25*1000,1)," "," Стр. 14, Гр. 8 [L25]  д.б. = [Окр(H25/F25*1000,1)] {" &amp; ROUND(H25/F25*1000,1) &amp; "}.")," ") &amp; IFERROR(IF(M25=ROUND(K25/L25*100,1)," "," Стр. 14, Гр. 9 [M25]  д.б. = [Окр(K25/L25*100,1)] {" &amp; ROUND(K25/L25*100,1) &amp; "}.")," ") &amp; IFERROR(IF(N25=ROUND(E25/F25*100,1)," "," Стр. 14, Гр. 10 [N25]  д.б. = [Окр(E25/F25*100,1)] {" &amp; ROUND(E25/F25*100,1) &amp; "}.")," ") &amp; IFERROR(IF(O25=ROUND(G25/H25*100,1)," "," Стр. 14, Гр. 11 [O25]  д.б. = [Окр(G25/H25*100,1)] {" &amp; ROUND(G25/H25*100,1) &amp; "}.")," ") &amp; IFERROR(IF(P25=ROUND(E25/E23*100,1)," "," Стр. 14, Гр. 12 [P25]  д.б. = [Окр(E25/E23*100,1)] {" &amp; ROUND(E25/E23*100,1) &amp; "}.")," ") &amp; IFERROR(IF(Q25=ROUND(F25/F23*100,1)," "," Стр. 14, Гр. 13 [Q25]  д.б. = [Окр(F25/F23*100,1)] {" &amp; ROUND(F25/F23*100,1) &amp; "}.")," ") &amp; IFERROR(IF(R25=ROUND(K25/K26*100,1)," "," Стр. 14, Гр. 14 [R25]  д.б. = [Окр(K25/K26*100,1)] {" &amp; ROUND(K25/K26*100,1) &amp; "}.")," ") &amp; IFERROR(IF(S25=ROUND(L25/L26*100,1)," "," Стр. 14, Гр. 15 [S25]  д.б. = [Окр(L25/L26*100,1)] {" &amp; ROUND(L25/L26*100,1) &amp; "}.")," ")</f>
        <v xml:space="preserve">           </v>
      </c>
    </row>
    <row r="26" spans="1:20" ht="45" customHeight="1" x14ac:dyDescent="0.25">
      <c r="A26" s="3" t="s">
        <v>60</v>
      </c>
      <c r="B26" s="1" t="s">
        <v>45</v>
      </c>
      <c r="C26" s="1" t="s">
        <v>1</v>
      </c>
      <c r="D26" s="1" t="s">
        <v>1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5" t="str">
        <f>IFERROR(IF(I26=ROUND(G26/G9*100,1)," "," Стр. 15, Гр. 5 [I26]  д.б. = [Окр(G26/G9*100,1)] {" &amp; ROUND(G26/G9*100,1) &amp; "}.")," ") &amp; IFERROR(IF(J26=ROUND(H26/H9*100,1)," "," Стр. 15, Гр. 6 [J26]  д.б. = [Окр(H26/H9*100,1)] {" &amp; ROUND(H26/H9*100,1) &amp; "}.")," ") &amp; IFERROR(IF(K26=ROUND(G26/E26*1000,1)," "," Стр. 15, Гр. 7 [K26]  д.б. = [Окр(G26/E26*1000,1)] {" &amp; ROUND(G26/E26*1000,1) &amp; "}.")," ") &amp; IFERROR(IF(L26=ROUND(H26/F26*1000,1)," "," Стр. 15, Гр. 8 [L26]  д.б. = [Окр(H26/F26*1000,1)] {" &amp; ROUND(H26/F26*1000,1) &amp; "}.")," ") &amp; IFERROR(IF(M26=ROUND(K26/L26*100,1)," "," Стр. 15, Гр. 9 [M26]  д.б. = [Окр(K26/L26*100,1)] {" &amp; ROUND(K26/L26*100,1) &amp; "}.")," ") &amp; IFERROR(IF(N26=ROUND(E26/F26*100,1)," "," Стр. 15, Гр. 10 [N26]  д.б. = [Окр(E26/F26*100,1)] {" &amp; ROUND(E26/F26*100,1) &amp; "}.")," ") &amp; IFERROR(IF(O26=ROUND(G26/H26*100,1)," "," Стр. 15, Гр. 11 [O26]  д.б. = [Окр(G26/H26*100,1)] {" &amp; ROUND(G26/H26*100,1) &amp; "}.")," ") &amp; IFERROR(IF(P26=ROUND(E26/E23*100,1)," "," Стр. 15, Гр. 12 [P26]  д.б. = [Окр(E26/E23*100,1)] {" &amp; ROUND(E26/E23*100,1) &amp; "}.")," ") &amp; IFERROR(IF(Q26=ROUND(F26/F23*100,1)," "," Стр. 15, Гр. 13 [Q26]  д.б. = [Окр(F26/F23*100,1)] {" &amp; ROUND(F26/F23*100,1) &amp; "}.")," ") &amp; IFERROR(IF(R26=ROUND(K26/K25*100,1)," "," Стр. 15, Гр. 14 [R26]  д.б. = [Окр(K26/K25*100,1)] {" &amp; ROUND(K26/K25*100,1) &amp; "}.")," ") &amp; IFERROR(IF(S26=ROUND(L26/L25*100,1)," "," Стр. 15, Гр. 15 [S26]  д.б. = [Окр(L26/L25*100,1)] {" &amp; ROUND(L26/L25*100,1) &amp; "}.")," ")</f>
        <v xml:space="preserve">           </v>
      </c>
    </row>
    <row r="27" spans="1:20" ht="45" customHeight="1" x14ac:dyDescent="0.25">
      <c r="A27" s="3" t="s">
        <v>73</v>
      </c>
      <c r="B27" s="1" t="s">
        <v>74</v>
      </c>
      <c r="C27" s="1" t="s">
        <v>75</v>
      </c>
      <c r="D27" s="1" t="s">
        <v>56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5" t="str">
        <f>IFERROR(IF(E27=ROUND(SUM(E29:E30),1)," "," Стр. 16, Гр. 1 [E27]  д.б. = [Окр(Сум(E29:E30),1)] {" &amp; ROUND(SUM(E29:E30),1) &amp; "}.")," ") &amp; IFERROR(IF(F27=ROUND(SUM(F29:F30),1)," "," Стр. 16, Гр. 2 [F27]  д.б. = [Окр(Сум(F29:F30),1)] {" &amp; ROUND(SUM(F29:F30),1) &amp; "}.")," ") &amp; IFERROR(IF(G27=ROUND(SUM(G29:G30),1)," "," Стр. 16, Гр. 3 [G27]  д.б. = [Окр(Сум(G29:G30),1)] {" &amp; ROUND(SUM(G29:G30),1) &amp; "}.")," ") &amp; IFERROR(IF(H27=ROUND(SUM(H29:H30),1)," "," Стр. 16, Гр. 4 [H27]  д.б. = [Окр(Сум(H29:H30),1)] {" &amp; ROUND(SUM(H29:H30),1) &amp; "}.")," ") &amp; IFERROR(IF(I27=ROUND(G27/G6*100,1)," "," Стр. 16, Гр. 5 [I27]  д.б. = [Окр(G27/G6*100,1)] {" &amp; ROUND(G27/G6*100,1) &amp; "}.")," ") &amp; IFERROR(IF(J27=ROUND(H27/H6*100,1)," "," Стр. 16, Гр. 6 [J27]  д.б. = [Окр(H27/H6*100,1)] {" &amp; ROUND(H27/H6*100,1) &amp; "}.")," ") &amp; IFERROR(IF(K27=ROUND(G27/E27*1000,1)," "," Стр. 16, Гр. 7 [K27]  д.б. = [Окр(G27/E27*1000,1)] {" &amp; ROUND(G27/E27*1000,1) &amp; "}.")," ") &amp; IFERROR(IF(L27=ROUND(H27/F27*1000,1)," "," Стр. 16, Гр. 8 [L27]  д.б. = [Окр(H27/F27*1000,1)] {" &amp; ROUND(H27/F27*1000,1) &amp; "}.")," ") &amp; IFERROR(IF(M27=ROUND(K27/L27*100,1)," "," Стр. 16, Гр. 9 [M27]  д.б. = [Окр(K27/L27*100,1)] {" &amp; ROUND(K27/L27*100,1) &amp; "}.")," ") &amp; IFERROR(IF(N27=ROUND(E27/F27*100,1)," "," Стр. 16, Гр. 10 [N27]  д.б. = [Окр(E27/F27*100,1)] {" &amp; ROUND(E27/F27*100,1) &amp; "}.")," ") &amp; IFERROR(IF(O27=ROUND(G27/H27*100,1)," "," Стр. 16, Гр. 11 [O27]  д.б. = [Окр(G27/H27*100,1)] {" &amp; ROUND(G27/H27*100,1) &amp; "}.")," ") &amp; IFERROR(IF(P27=ROUND(SUM(P29:P30),1)," "," Стр. 16, Гр. 12 [P27]  д.б. = [Окр(Сум(P29:P30),1)] {" &amp; ROUND(SUM(P29:P30),1) &amp; "}.")," ") &amp; IFERROR(IF(Q27=ROUND(SUM(Q29:Q30),1)," "," Стр. 16, Гр. 13 [Q27]  д.б. = [Окр(Сум(Q29:Q30),1)] {" &amp; ROUND(SUM(Q29:Q30),1) &amp; "}.")," ")</f>
        <v xml:space="preserve">             </v>
      </c>
    </row>
    <row r="28" spans="1:20" ht="45" customHeight="1" x14ac:dyDescent="0.25">
      <c r="A28" s="3" t="s">
        <v>76</v>
      </c>
      <c r="B28" s="1"/>
      <c r="C28" s="1" t="s">
        <v>1</v>
      </c>
      <c r="D28" s="1" t="s">
        <v>1</v>
      </c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</row>
    <row r="29" spans="1:20" ht="45" customHeight="1" x14ac:dyDescent="0.25">
      <c r="A29" s="3" t="s">
        <v>58</v>
      </c>
      <c r="B29" s="1" t="s">
        <v>77</v>
      </c>
      <c r="C29" s="1" t="s">
        <v>1</v>
      </c>
      <c r="D29" s="1" t="s">
        <v>1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5" t="str">
        <f>IFERROR(IF(I29=ROUND(G29/G8*100,1)," "," Стр. 17, Гр. 5 [I29]  д.б. = [Окр(G29/G8*100,1)] {" &amp; ROUND(G29/G8*100,1) &amp; "}.")," ") &amp; IFERROR(IF(J29=ROUND(H29/H8*100,1)," "," Стр. 17, Гр. 6 [J29]  д.б. = [Окр(H29/H8*100,1)] {" &amp; ROUND(H29/H8*100,1) &amp; "}.")," ") &amp; IFERROR(IF(K29=ROUND(G29/E29*1000,1)," "," Стр. 17, Гр. 7 [K29]  д.б. = [Окр(G29/E29*1000,1)] {" &amp; ROUND(G29/E29*1000,1) &amp; "}.")," ") &amp; IFERROR(IF(L29=ROUND(H29/F29*1000,1)," "," Стр. 17, Гр. 8 [L29]  д.б. = [Окр(H29/F29*1000,1)] {" &amp; ROUND(H29/F29*1000,1) &amp; "}.")," ") &amp; IFERROR(IF(M29=ROUND(K29/L29*100,1)," "," Стр. 17, Гр. 9 [M29]  д.б. = [Окр(K29/L29*100,1)] {" &amp; ROUND(K29/L29*100,1) &amp; "}.")," ") &amp; IFERROR(IF(N29=ROUND(E29/F29*100,1)," "," Стр. 17, Гр. 10 [N29]  д.б. = [Окр(E29/F29*100,1)] {" &amp; ROUND(E29/F29*100,1) &amp; "}.")," ") &amp; IFERROR(IF(O29=ROUND(G29/H29*100,1)," "," Стр. 17, Гр. 11 [O29]  д.б. = [Окр(G29/H29*100,1)] {" &amp; ROUND(G29/H29*100,1) &amp; "}.")," ") &amp; IFERROR(IF(P29=ROUND(E29/E27*100,1)," "," Стр. 17, Гр. 12 [P29]  д.б. = [Окр(E29/E27*100,1)] {" &amp; ROUND(E29/E27*100,1) &amp; "}.")," ") &amp; IFERROR(IF(Q29=ROUND(F29/F27*100,1)," "," Стр. 17, Гр. 13 [Q29]  д.б. = [Окр(F29/F27*100,1)] {" &amp; ROUND(F29/F27*100,1) &amp; "}.")," ") &amp; IFERROR(IF(R29=ROUND(K29/K30*100,1)," "," Стр. 17, Гр. 14 [R29]  д.б. = [Окр(K29/K30*100,1)] {" &amp; ROUND(K29/K30*100,1) &amp; "}.")," ") &amp; IFERROR(IF(S29=ROUND(L29/L30*100,1)," "," Стр. 17, Гр. 15 [S29]  д.б. = [Окр(L29/L30*100,1)] {" &amp; ROUND(L29/L30*100,1) &amp; "}.")," ")</f>
        <v xml:space="preserve">           </v>
      </c>
    </row>
    <row r="30" spans="1:20" ht="45" customHeight="1" x14ac:dyDescent="0.25">
      <c r="A30" s="3" t="s">
        <v>60</v>
      </c>
      <c r="B30" s="1" t="s">
        <v>78</v>
      </c>
      <c r="C30" s="1" t="s">
        <v>1</v>
      </c>
      <c r="D30" s="1" t="s">
        <v>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5" t="str">
        <f>IFERROR(IF(I30=ROUND(G30/G9*100,1)," "," Стр. 18, Гр. 5 [I30]  д.б. = [Окр(G30/G9*100,1)] {" &amp; ROUND(G30/G9*100,1) &amp; "}.")," ") &amp; IFERROR(IF(J30=ROUND(H30/H9*100,1)," "," Стр. 18, Гр. 6 [J30]  д.б. = [Окр(H30/H9*100,1)] {" &amp; ROUND(H30/H9*100,1) &amp; "}.")," ") &amp; IFERROR(IF(K30=ROUND(G30/E30*1000,1)," "," Стр. 18, Гр. 7 [K30]  д.б. = [Окр(G30/E30*1000,1)] {" &amp; ROUND(G30/E30*1000,1) &amp; "}.")," ") &amp; IFERROR(IF(L30=ROUND(H30/F30*1000,1)," "," Стр. 18, Гр. 8 [L30]  д.б. = [Окр(H30/F30*1000,1)] {" &amp; ROUND(H30/F30*1000,1) &amp; "}.")," ") &amp; IFERROR(IF(M30=ROUND(K30/L30*100,1)," "," Стр. 18, Гр. 9 [M30]  д.б. = [Окр(K30/L30*100,1)] {" &amp; ROUND(K30/L30*100,1) &amp; "}.")," ") &amp; IFERROR(IF(N30=ROUND(E30/F30*100,1)," "," Стр. 18, Гр. 10 [N30]  д.б. = [Окр(E30/F30*100,1)] {" &amp; ROUND(E30/F30*100,1) &amp; "}.")," ") &amp; IFERROR(IF(O30=ROUND(G30/H30*100,1)," "," Стр. 18, Гр. 11 [O30]  д.б. = [Окр(G30/H30*100,1)] {" &amp; ROUND(G30/H30*100,1) &amp; "}.")," ") &amp; IFERROR(IF(P30=ROUND(E30/E27*100,1)," "," Стр. 18, Гр. 12 [P30]  д.б. = [Окр(E30/E27*100,1)] {" &amp; ROUND(E30/E27*100,1) &amp; "}.")," ") &amp; IFERROR(IF(Q30=ROUND(F30/F27*100,1)," "," Стр. 18, Гр. 13 [Q30]  д.б. = [Окр(F30/F27*100,1)] {" &amp; ROUND(F30/F27*100,1) &amp; "}.")," ") &amp; IFERROR(IF(R30=ROUND(K30/K29*100,1)," "," Стр. 18, Гр. 14 [R30]  д.б. = [Окр(K30/K29*100,1)] {" &amp; ROUND(K30/K29*100,1) &amp; "}.")," ") &amp; IFERROR(IF(S30=ROUND(L30/L29*100,1)," "," Стр. 18, Гр. 15 [S30]  д.б. = [Окр(L30/L29*100,1)] {" &amp; ROUND(L30/L29*100,1) &amp; "}.")," ")</f>
        <v xml:space="preserve">           </v>
      </c>
    </row>
    <row r="31" spans="1:20" ht="45" customHeight="1" x14ac:dyDescent="0.25">
      <c r="A31" s="3" t="s">
        <v>79</v>
      </c>
      <c r="B31" s="1" t="s">
        <v>80</v>
      </c>
      <c r="C31" s="1" t="s">
        <v>40</v>
      </c>
      <c r="D31" s="1" t="s">
        <v>56</v>
      </c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5" t="str">
        <f>IFERROR(IF(E31=ROUND(SUM(E33:E34),1)," "," Стр. 19, Гр. 1 [E31]  д.б. = [Окр(Сум(E33:E34),1)] {" &amp; ROUND(SUM(E33:E34),1) &amp; "}.")," ") &amp; IFERROR(IF(F31=ROUND(SUM(F33:F34),1)," "," Стр. 19, Гр. 2 [F31]  д.б. = [Окр(Сум(F33:F34),1)] {" &amp; ROUND(SUM(F33:F34),1) &amp; "}.")," ") &amp; IFERROR(IF(G31=ROUND(SUM(G33:G34),1)," "," Стр. 19, Гр. 3 [G31]  д.б. = [Окр(Сум(G33:G34),1)] {" &amp; ROUND(SUM(G33:G34),1) &amp; "}.")," ") &amp; IFERROR(IF(H31=ROUND(SUM(H33:H34),1)," "," Стр. 19, Гр. 4 [H31]  д.б. = [Окр(Сум(H33:H34),1)] {" &amp; ROUND(SUM(H33:H34),1) &amp; "}.")," ") &amp; IFERROR(IF(I31=ROUND(G31/G6*100,1)," "," Стр. 19, Гр. 5 [I31]  д.б. = [Окр(G31/G6*100,1)] {" &amp; ROUND(G31/G6*100,1) &amp; "}.")," ") &amp; IFERROR(IF(J31=ROUND(H31/H6*100,1)," "," Стр. 19, Гр. 6 [J31]  д.б. = [Окр(H31/H6*100,1)] {" &amp; ROUND(H31/H6*100,1) &amp; "}.")," ") &amp; IFERROR(IF(K31=ROUND(G31/E31*1000,1)," "," Стр. 19, Гр. 7 [K31]  д.б. = [Окр(G31/E31*1000,1)] {" &amp; ROUND(G31/E31*1000,1) &amp; "}.")," ") &amp; IFERROR(IF(L31=ROUND(H31/F31*1000,1)," "," Стр. 19, Гр. 8 [L31]  д.б. = [Окр(H31/F31*1000,1)] {" &amp; ROUND(H31/F31*1000,1) &amp; "}.")," ") &amp; IFERROR(IF(M31=ROUND(K31/L31*100,1)," "," Стр. 19, Гр. 9 [M31]  д.б. = [Окр(K31/L31*100,1)] {" &amp; ROUND(K31/L31*100,1) &amp; "}.")," ") &amp; IFERROR(IF(N31=ROUND(E31/F31*100,1)," "," Стр. 19, Гр. 10 [N31]  д.б. = [Окр(E31/F31*100,1)] {" &amp; ROUND(E31/F31*100,1) &amp; "}.")," ") &amp; IFERROR(IF(O31=ROUND(G31/H31*100,1)," "," Стр. 19, Гр. 11 [O31]  д.б. = [Окр(G31/H31*100,1)] {" &amp; ROUND(G31/H31*100,1) &amp; "}.")," ") &amp; IFERROR(IF(P31=ROUND(SUM(P33:P34),1)," "," Стр. 19, Гр. 12 [P31]  д.б. = [Окр(Сум(P33:P34),1)] {" &amp; ROUND(SUM(P33:P34),1) &amp; "}.")," ") &amp; IFERROR(IF(Q31=ROUND(SUM(Q33:Q34),1)," "," Стр. 19, Гр. 13 [Q31]  д.б. = [Окр(Сум(Q33:Q34),1)] {" &amp; ROUND(SUM(Q33:Q34),1) &amp; "}.")," ")</f>
        <v xml:space="preserve">             </v>
      </c>
    </row>
    <row r="32" spans="1:20" ht="45" customHeight="1" x14ac:dyDescent="0.25">
      <c r="A32" s="3" t="s">
        <v>57</v>
      </c>
      <c r="B32" s="1"/>
      <c r="C32" s="1" t="s">
        <v>1</v>
      </c>
      <c r="D32" s="1" t="s">
        <v>1</v>
      </c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</row>
    <row r="33" spans="1:20" ht="45" customHeight="1" x14ac:dyDescent="0.25">
      <c r="A33" s="3" t="s">
        <v>58</v>
      </c>
      <c r="B33" s="1" t="s">
        <v>81</v>
      </c>
      <c r="C33" s="1" t="s">
        <v>1</v>
      </c>
      <c r="D33" s="1" t="s">
        <v>1</v>
      </c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5" t="str">
        <f>IFERROR(IF(I33=ROUND(G33/G8*100,1)," "," Стр. 20, Гр. 5 [I33]  д.б. = [Окр(G33/G8*100,1)] {" &amp; ROUND(G33/G8*100,1) &amp; "}.")," ") &amp; IFERROR(IF(J33=ROUND(H33/H8*100,1)," "," Стр. 20, Гр. 6 [J33]  д.б. = [Окр(H33/H8*100,1)] {" &amp; ROUND(H33/H8*100,1) &amp; "}.")," ") &amp; IFERROR(IF(K33=ROUND(G33/E33*1000,1)," "," Стр. 20, Гр. 7 [K33]  д.б. = [Окр(G33/E33*1000,1)] {" &amp; ROUND(G33/E33*1000,1) &amp; "}.")," ") &amp; IFERROR(IF(L33=ROUND(H33/F33*1000,1)," "," Стр. 20, Гр. 8 [L33]  д.б. = [Окр(H33/F33*1000,1)] {" &amp; ROUND(H33/F33*1000,1) &amp; "}.")," ") &amp; IFERROR(IF(M33=ROUND(K33/L33*100,1)," "," Стр. 20, Гр. 9 [M33]  д.б. = [Окр(K33/L33*100,1)] {" &amp; ROUND(K33/L33*100,1) &amp; "}.")," ") &amp; IFERROR(IF(N33=ROUND(E33/F33*100,1)," "," Стр. 20, Гр. 10 [N33]  д.б. = [Окр(E33/F33*100,1)] {" &amp; ROUND(E33/F33*100,1) &amp; "}.")," ") &amp; IFERROR(IF(O33=ROUND(G33/H33*100,1)," "," Стр. 20, Гр. 11 [O33]  д.б. = [Окр(G33/H33*100,1)] {" &amp; ROUND(G33/H33*100,1) &amp; "}.")," ") &amp; IFERROR(IF(P33=ROUND(E33/E31*100,1)," "," Стр. 20, Гр. 12 [P33]  д.б. = [Окр(E33/E31*100,1)] {" &amp; ROUND(E33/E31*100,1) &amp; "}.")," ") &amp; IFERROR(IF(Q33=ROUND(F33/F31*100,1)," "," Стр. 20, Гр. 13 [Q33]  д.б. = [Окр(F33/F31*100,1)] {" &amp; ROUND(F33/F31*100,1) &amp; "}.")," ") &amp; IFERROR(IF(R33=ROUND(K33/K34*100,1)," "," Стр. 20, Гр. 14 [R33]  д.б. = [Окр(K33/K34*100,1)] {" &amp; ROUND(K33/K34*100,1) &amp; "}.")," ") &amp; IFERROR(IF(S33=ROUND(L33/L34*100,1)," "," Стр. 20, Гр. 15 [S33]  д.б. = [Окр(L33/L34*100,1)] {" &amp; ROUND(L33/L34*100,1) &amp; "}.")," ")</f>
        <v xml:space="preserve">           </v>
      </c>
    </row>
    <row r="34" spans="1:20" ht="45" customHeight="1" x14ac:dyDescent="0.25">
      <c r="A34" s="3" t="s">
        <v>60</v>
      </c>
      <c r="B34" s="1" t="s">
        <v>82</v>
      </c>
      <c r="C34" s="1" t="s">
        <v>1</v>
      </c>
      <c r="D34" s="1" t="s">
        <v>1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5" t="str">
        <f>IFERROR(IF(I34=ROUND(G34/G9*100,1)," "," Стр. 21, Гр. 5 [I34]  д.б. = [Окр(G34/G9*100,1)] {" &amp; ROUND(G34/G9*100,1) &amp; "}.")," ") &amp; IFERROR(IF(J34=ROUND(H34/H9*100,1)," "," Стр. 21, Гр. 6 [J34]  д.б. = [Окр(H34/H9*100,1)] {" &amp; ROUND(H34/H9*100,1) &amp; "}.")," ") &amp; IFERROR(IF(K34=ROUND(G34/E34*1000,1)," "," Стр. 21, Гр. 7 [K34]  д.б. = [Окр(G34/E34*1000,1)] {" &amp; ROUND(G34/E34*1000,1) &amp; "}.")," ") &amp; IFERROR(IF(L34=ROUND(H34/F34*1000,1)," "," Стр. 21, Гр. 8 [L34]  д.б. = [Окр(H34/F34*1000,1)] {" &amp; ROUND(H34/F34*1000,1) &amp; "}.")," ") &amp; IFERROR(IF(M34=ROUND(K34/L34*100,1)," "," Стр. 21, Гр. 9 [M34]  д.б. = [Окр(K34/L34*100,1)] {" &amp; ROUND(K34/L34*100,1) &amp; "}.")," ") &amp; IFERROR(IF(N34=ROUND(E34/F34*100,1)," "," Стр. 21, Гр. 10 [N34]  д.б. = [Окр(E34/F34*100,1)] {" &amp; ROUND(E34/F34*100,1) &amp; "}.")," ") &amp; IFERROR(IF(O34=ROUND(G34/H34*100,1)," "," Стр. 21, Гр. 11 [O34]  д.б. = [Окр(G34/H34*100,1)] {" &amp; ROUND(G34/H34*100,1) &amp; "}.")," ") &amp; IFERROR(IF(P34=ROUND(E34/E31*100,1)," "," Стр. 21, Гр. 12 [P34]  д.б. = [Окр(E34/E31*100,1)] {" &amp; ROUND(E34/E31*100,1) &amp; "}.")," ") &amp; IFERROR(IF(Q34=ROUND(F34/F31*100,1)," "," Стр. 21, Гр. 13 [Q34]  д.б. = [Окр(F34/F31*100,1)] {" &amp; ROUND(F34/F31*100,1) &amp; "}.")," ") &amp; IFERROR(IF(R34=ROUND(K34/K33*100,1)," "," Стр. 21, Гр. 14 [R34]  д.б. = [Окр(K34/K33*100,1)] {" &amp; ROUND(K34/K33*100,1) &amp; "}.")," ") &amp; IFERROR(IF(S34=ROUND(L34/L33*100,1)," "," Стр. 21, Гр. 15 [S34]  д.б. = [Окр(L34/L33*100,1)] {" &amp; ROUND(L34/L33*100,1) &amp; "}.")," ")</f>
        <v xml:space="preserve">           </v>
      </c>
    </row>
    <row r="35" spans="1:20" ht="45" customHeight="1" x14ac:dyDescent="0.25">
      <c r="A35" s="3" t="s">
        <v>83</v>
      </c>
      <c r="B35" s="1" t="s">
        <v>84</v>
      </c>
      <c r="C35" s="1" t="s">
        <v>85</v>
      </c>
      <c r="D35" s="1" t="s">
        <v>56</v>
      </c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</row>
    <row r="36" spans="1:20" ht="45" customHeight="1" x14ac:dyDescent="0.25">
      <c r="A36" s="3" t="s">
        <v>57</v>
      </c>
      <c r="B36" s="1"/>
      <c r="C36" s="1" t="s">
        <v>1</v>
      </c>
      <c r="D36" s="1" t="s">
        <v>1</v>
      </c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</row>
    <row r="37" spans="1:20" ht="45" customHeight="1" x14ac:dyDescent="0.25">
      <c r="A37" s="3" t="s">
        <v>58</v>
      </c>
      <c r="B37" s="1" t="s">
        <v>86</v>
      </c>
      <c r="C37" s="1" t="s">
        <v>1</v>
      </c>
      <c r="D37" s="1" t="s">
        <v>1</v>
      </c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5" t="str">
        <f>IFERROR(IF(I37=ROUND(G33/G8*100,1)," "," Стр. 23, Гр. 5 [I37]  д.б. = [Окр(G33/G8*100,1)] {" &amp; ROUND(G33/G8*100,1) &amp; "}.")," ") &amp; IFERROR(IF(J37=ROUND(H33/H8*100,1)," "," Стр. 23, Гр. 6 [J37]  д.б. = [Окр(H33/H8*100,1)] {" &amp; ROUND(H33/H8*100,1) &amp; "}.")," ") &amp; IFERROR(IF(K37=ROUND(G37/E37,1)," "," Стр. 23, Гр. 7 [K37]  д.б. = [Окр(G37/E37,1)] {" &amp; ROUND(G37/E37,1) &amp; "}.")," ") &amp; IFERROR(IF(L37=ROUND(H37/F37,1)," "," Стр. 23, Гр. 8 [L37]  д.б. = [Окр(H37/F37,1)] {" &amp; ROUND(H37/F37,1) &amp; "}.")," ") &amp; IFERROR(IF(M37=ROUND(K37/L37*100,1)," "," Стр. 23, Гр. 9 [M37]  д.б. = [Окр(K37/L37*100,1)] {" &amp; ROUND(K37/L37*100,1) &amp; "}.")," ") &amp; IFERROR(IF(N37=ROUND(E37/F37*100,1)," "," Стр. 23, Гр. 10 [N37]  д.б. = [Окр(E37/F37*100,1)] {" &amp; ROUND(E37/F37*100,1) &amp; "}.")," ") &amp; IFERROR(IF(O37=ROUND(G37/H37*100,1)," "," Стр. 23, Гр. 11 [O37]  д.б. = [Окр(G37/H37*100,1)] {" &amp; ROUND(G37/H37*100,1) &amp; "}.")," ") &amp; IFERROR(IF(P37=ROUND(E33/E31*100,1)," "," Стр. 23, Гр. 12 [P37]  д.б. = [Окр(E33/E31*100,1)] {" &amp; ROUND(E33/E31*100,1) &amp; "}.")," ") &amp; IFERROR(IF(Q37=ROUND(F33/F31*100,1)," "," Стр. 23, Гр. 13 [Q37]  д.б. = [Окр(F33/F31*100,1)] {" &amp; ROUND(F33/F31*100,1) &amp; "}.")," ") &amp; IFERROR(IF(R37=ROUND(K33/K34*100,1)," "," Стр. 23, Гр. 14 [R37]  д.б. = [Окр(K33/K34*100,1)] {" &amp; ROUND(K33/K34*100,1) &amp; "}.")," ") &amp; IFERROR(IF(S37=ROUND(L33/L34*100,1)," "," Стр. 23, Гр. 15 [S37]  д.б. = [Окр(L33/L34*100,1)] {" &amp; ROUND(L33/L34*100,1) &amp; "}.")," ")</f>
        <v xml:space="preserve">           </v>
      </c>
    </row>
    <row r="38" spans="1:20" ht="45" customHeight="1" x14ac:dyDescent="0.25">
      <c r="A38" s="3" t="s">
        <v>60</v>
      </c>
      <c r="B38" s="1" t="s">
        <v>87</v>
      </c>
      <c r="C38" s="1" t="s">
        <v>1</v>
      </c>
      <c r="D38" s="1" t="s">
        <v>1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5" t="str">
        <f>IFERROR(IF(I38=ROUND(G34/G9*100,1)," "," Стр. 24, Гр. 5 [I38]  д.б. = [Окр(G34/G9*100,1)] {" &amp; ROUND(G34/G9*100,1) &amp; "}.")," ") &amp; IFERROR(IF(J38=ROUND(H34/H9*100,1)," "," Стр. 24, Гр. 6 [J38]  д.б. = [Окр(H34/H9*100,1)] {" &amp; ROUND(H34/H9*100,1) &amp; "}.")," ") &amp; IFERROR(IF(K38=ROUND(G38/E38,1)," "," Стр. 24, Гр. 7 [K38]  д.б. = [Окр(G38/E38,1)] {" &amp; ROUND(G38/E38,1) &amp; "}.")," ") &amp; IFERROR(IF(L38=ROUND(H38/F38,1)," "," Стр. 24, Гр. 8 [L38]  д.б. = [Окр(H38/F38,1)] {" &amp; ROUND(H38/F38,1) &amp; "}.")," ") &amp; IFERROR(IF(M38=ROUND(K38/L38*100,1)," "," Стр. 24, Гр. 9 [M38]  д.б. = [Окр(K38/L38*100,1)] {" &amp; ROUND(K38/L38*100,1) &amp; "}.")," ") &amp; IFERROR(IF(N38=ROUND(E38/F38*100,1)," "," Стр. 24, Гр. 10 [N38]  д.б. = [Окр(E38/F38*100,1)] {" &amp; ROUND(E38/F38*100,1) &amp; "}.")," ") &amp; IFERROR(IF(O38=ROUND(G38/H38*100,1)," "," Стр. 24, Гр. 11 [O38]  д.б. = [Окр(G38/H38*100,1)] {" &amp; ROUND(G38/H38*100,1) &amp; "}.")," ") &amp; IFERROR(IF(P38=ROUND(E34/E31*100,1)," "," Стр. 24, Гр. 12 [P38]  д.б. = [Окр(E34/E31*100,1)] {" &amp; ROUND(E34/E31*100,1) &amp; "}.")," ") &amp; IFERROR(IF(Q38=ROUND(F34/F31*100,1)," "," Стр. 24, Гр. 13 [Q38]  д.б. = [Окр(F34/F31*100,1)] {" &amp; ROUND(F34/F31*100,1) &amp; "}.")," ") &amp; IFERROR(IF(R38=ROUND(K34/K33*100,1)," "," Стр. 24, Гр. 14 [R38]  д.б. = [Окр(K34/K33*100,1)] {" &amp; ROUND(K34/K33*100,1) &amp; "}.")," ") &amp; IFERROR(IF(S38=ROUND(L34/L33*100,1)," "," Стр. 24, Гр. 15 [S38]  д.б. = [Окр(L34/L33*100,1)] {" &amp; ROUND(L34/L33*100,1) &amp; "}.")," ")</f>
        <v xml:space="preserve">           </v>
      </c>
    </row>
    <row r="39" spans="1:20" ht="45" customHeight="1" x14ac:dyDescent="0.25">
      <c r="A39" s="3" t="s">
        <v>88</v>
      </c>
      <c r="B39" s="1" t="s">
        <v>89</v>
      </c>
      <c r="C39" s="1" t="s">
        <v>90</v>
      </c>
      <c r="D39" s="1" t="s">
        <v>56</v>
      </c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5" t="str">
        <f>IFERROR(IF(E39=ROUND(SUM(E37:E38),1)," "," Стр. 25, Гр. 1 [E39]  д.б. = [Окр(Сум(E37:E38),1)] {" &amp; ROUND(SUM(E37:E38),1) &amp; "}.")," ") &amp; IFERROR(IF(F39=ROUND(SUM(F37:F38),1)," "," Стр. 25, Гр. 2 [F39]  д.б. = [Окр(Сум(F37:F38),1)] {" &amp; ROUND(SUM(F37:F38),1) &amp; "}.")," ") &amp; IFERROR(IF(G39=ROUND(SUM(G37:G38),1)," "," Стр. 25, Гр. 3 [G39]  д.б. = [Окр(Сум(G37:G38),1)] {" &amp; ROUND(SUM(G37:G38),1) &amp; "}.")," ") &amp; IFERROR(IF(H39=ROUND(SUM(H37:H38),1)," "," Стр. 25, Гр. 4 [H39]  д.б. = [Окр(Сум(H37:H38),1)] {" &amp; ROUND(SUM(H37:H38),1) &amp; "}.")," ") &amp; IFERROR(IF(I39=ROUND(G35/G6*100,1)," "," Стр. 25, Гр. 5 [I39]  д.б. = [Окр(G35/G6*100,1)] {" &amp; ROUND(G35/G6*100,1) &amp; "}.")," ") &amp; IFERROR(IF(J39=ROUND(H35/H6*100,1)," "," Стр. 25, Гр. 6 [J39]  д.б. = [Окр(H35/H6*100,1)] {" &amp; ROUND(H35/H6*100,1) &amp; "}.")," ") &amp; IFERROR(IF(K39=ROUND(G39/E39*1000,1)," "," Стр. 25, Гр. 7 [K39]  д.б. = [Окр(G39/E39*1000,1)] {" &amp; ROUND(G39/E39*1000,1) &amp; "}.")," ") &amp; IFERROR(IF(L39=ROUND(H39/F39*1000,1)," "," Стр. 25, Гр. 8 [L39]  д.б. = [Окр(H39/F39*1000,1)] {" &amp; ROUND(H39/F39*1000,1) &amp; "}.")," ") &amp; IFERROR(IF(M39=ROUND(K39/L39*100,1)," "," Стр. 25, Гр. 9 [M39]  д.б. = [Окр(K39/L39*100,1)] {" &amp; ROUND(K39/L39*100,1) &amp; "}.")," ") &amp; IFERROR(IF(N39=ROUND(E39/F39*100,1)," "," Стр. 25, Гр. 10 [N39]  д.б. = [Окр(E39/F39*100,1)] {" &amp; ROUND(E39/F39*100,1) &amp; "}.")," ") &amp; IFERROR(IF(O39=ROUND(G39/H39*100,1)," "," Стр. 25, Гр. 11 [O39]  д.б. = [Окр(G39/H39*100,1)] {" &amp; ROUND(G39/H39*100,1) &amp; "}.")," ") &amp; IFERROR(IF(P39=ROUND(SUM(P37:P38),1)," "," Стр. 25, Гр. 12 [P39]  д.б. = [Окр(Сум(P37:P38),1)] {" &amp; ROUND(SUM(P37:P38),1) &amp; "}.")," ") &amp; IFERROR(IF(Q39=ROUND(SUM(Q37:Q38),1)," "," Стр. 25, Гр. 13 [Q39]  д.б. = [Окр(Сум(Q37:Q38),1)] {" &amp; ROUND(SUM(Q37:Q38),1) &amp; "}.")," ")</f>
        <v xml:space="preserve">             </v>
      </c>
    </row>
    <row r="40" spans="1:20" ht="45" customHeight="1" x14ac:dyDescent="0.25">
      <c r="A40" s="3" t="s">
        <v>57</v>
      </c>
      <c r="B40" s="1"/>
      <c r="C40" s="1" t="s">
        <v>1</v>
      </c>
      <c r="D40" s="1" t="s">
        <v>1</v>
      </c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</row>
    <row r="41" spans="1:20" ht="45" customHeight="1" x14ac:dyDescent="0.25">
      <c r="A41" s="3" t="s">
        <v>58</v>
      </c>
      <c r="B41" s="1" t="s">
        <v>91</v>
      </c>
      <c r="C41" s="1" t="s">
        <v>1</v>
      </c>
      <c r="D41" s="1" t="s">
        <v>1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5" t="str">
        <f>IFERROR(IF(I41=ROUND(G37/G8*100,1)," "," Стр. 26, Гр. 5 [I41]  д.б. = [Окр(G37/G8*100,1)] {" &amp; ROUND(G37/G8*100,1) &amp; "}.")," ") &amp; IFERROR(IF(J41=ROUND(H37/H8*100,1)," "," Стр. 26, Гр. 6 [J41]  д.б. = [Окр(H37/H8*100,1)] {" &amp; ROUND(H37/H8*100,1) &amp; "}.")," ") &amp; IFERROR(IF(K41=ROUND(G41/E41*1000,1)," "," Стр. 26, Гр. 7 [K41]  д.б. = [Окр(G41/E41*1000,1)] {" &amp; ROUND(G41/E41*1000,1) &amp; "}.")," ") &amp; IFERROR(IF(L41=ROUND(H41/F41*1000,1)," "," Стр. 26, Гр. 8 [L41]  д.б. = [Окр(H41/F41*1000,1)] {" &amp; ROUND(H41/F41*1000,1) &amp; "}.")," ") &amp; IFERROR(IF(M41=ROUND(K41/L41*100,1)," "," Стр. 26, Гр. 9 [M41]  д.б. = [Окр(K41/L41*100,1)] {" &amp; ROUND(K41/L41*100,1) &amp; "}.")," ") &amp; IFERROR(IF(N41=ROUND(E41/F41*100,1)," "," Стр. 26, Гр. 10 [N41]  д.б. = [Окр(E41/F41*100,1)] {" &amp; ROUND(E41/F41*100,1) &amp; "}.")," ") &amp; IFERROR(IF(O41=ROUND(G41/H41*100,1)," "," Стр. 26, Гр. 11 [O41]  д.б. = [Окр(G41/H41*100,1)] {" &amp; ROUND(G41/H41*100,1) &amp; "}.")," ") &amp; IFERROR(IF(P41=ROUND(E37/E35*100,1)," "," Стр. 26, Гр. 12 [P41]  д.б. = [Окр(E37/E35*100,1)] {" &amp; ROUND(E37/E35*100,1) &amp; "}.")," ") &amp; IFERROR(IF(Q41=ROUND(F37/F35*100,1)," "," Стр. 26, Гр. 13 [Q41]  д.б. = [Окр(F37/F35*100,1)] {" &amp; ROUND(F37/F35*100,1) &amp; "}.")," ") &amp; IFERROR(IF(R41=ROUND(K37/K38*100,1)," "," Стр. 26, Гр. 14 [R41]  д.б. = [Окр(K37/K38*100,1)] {" &amp; ROUND(K37/K38*100,1) &amp; "}.")," ") &amp; IFERROR(IF(S41=ROUND(L37/L38*100,1)," "," Стр. 26, Гр. 15 [S41]  д.б. = [Окр(L37/L38*100,1)] {" &amp; ROUND(L37/L38*100,1) &amp; "}.")," ")</f>
        <v xml:space="preserve">           </v>
      </c>
    </row>
    <row r="42" spans="1:20" ht="45" customHeight="1" x14ac:dyDescent="0.25">
      <c r="A42" s="3" t="s">
        <v>60</v>
      </c>
      <c r="B42" s="1" t="s">
        <v>92</v>
      </c>
      <c r="C42" s="1" t="s">
        <v>1</v>
      </c>
      <c r="D42" s="1" t="s">
        <v>1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5" t="str">
        <f>IFERROR(IF(I42=ROUND(G38/G9*100,1)," "," Стр. 27, Гр. 5 [I42]  д.б. = [Окр(G38/G9*100,1)] {" &amp; ROUND(G38/G9*100,1) &amp; "}.")," ") &amp; IFERROR(IF(J42=ROUND(H38/H9*100,1)," "," Стр. 27, Гр. 6 [J42]  д.б. = [Окр(H38/H9*100,1)] {" &amp; ROUND(H38/H9*100,1) &amp; "}.")," ") &amp; IFERROR(IF(K42=ROUND(G42/E42*1000,1)," "," Стр. 27, Гр. 7 [K42]  д.б. = [Окр(G42/E42*1000,1)] {" &amp; ROUND(G42/E42*1000,1) &amp; "}.")," ") &amp; IFERROR(IF(L42=ROUND(H42/F42*1000,1)," "," Стр. 27, Гр. 8 [L42]  д.б. = [Окр(H42/F42*1000,1)] {" &amp; ROUND(H42/F42*1000,1) &amp; "}.")," ") &amp; IFERROR(IF(M42=ROUND(K42/L42*100,1)," "," Стр. 27, Гр. 9 [M42]  д.б. = [Окр(K42/L42*100,1)] {" &amp; ROUND(K42/L42*100,1) &amp; "}.")," ") &amp; IFERROR(IF(N42=ROUND(E42/F42*100,1)," "," Стр. 27, Гр. 10 [N42]  д.б. = [Окр(E42/F42*100,1)] {" &amp; ROUND(E42/F42*100,1) &amp; "}.")," ") &amp; IFERROR(IF(O42=ROUND(G42/H42*100,1)," "," Стр. 27, Гр. 11 [O42]  д.б. = [Окр(G42/H42*100,1)] {" &amp; ROUND(G42/H42*100,1) &amp; "}.")," ") &amp; IFERROR(IF(P42=ROUND(E38/E35*100,1)," "," Стр. 27, Гр. 12 [P42]  д.б. = [Окр(E38/E35*100,1)] {" &amp; ROUND(E38/E35*100,1) &amp; "}.")," ") &amp; IFERROR(IF(Q42=ROUND(F38/F35*100,1)," "," Стр. 27, Гр. 13 [Q42]  д.б. = [Окр(F38/F35*100,1)] {" &amp; ROUND(F38/F35*100,1) &amp; "}.")," ") &amp; IFERROR(IF(R42=ROUND(K38/K37*100,1)," "," Стр. 27, Гр. 14 [R42]  д.б. = [Окр(K38/K37*100,1)] {" &amp; ROUND(K38/K37*100,1) &amp; "}.")," ") &amp; IFERROR(IF(S42=ROUND(L38/L37*100,1)," "," Стр. 27, Гр. 15 [S42]  д.б. = [Окр(L38/L37*100,1)] {" &amp; ROUND(L38/L37*100,1) &amp; "}.")," ")</f>
        <v xml:space="preserve">           </v>
      </c>
    </row>
    <row r="43" spans="1:20" ht="45" customHeight="1" x14ac:dyDescent="0.25">
      <c r="A43" s="3" t="s">
        <v>93</v>
      </c>
      <c r="B43" s="1" t="s">
        <v>94</v>
      </c>
      <c r="C43" s="1" t="s">
        <v>95</v>
      </c>
      <c r="D43" s="1" t="s">
        <v>56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5" t="str">
        <f>IFERROR(IF(E43=ROUND(SUM(E41:E42),1)," "," Стр. 28, Гр. 1 [E43]  д.б. = [Окр(Сум(E41:E42),1)] {" &amp; ROUND(SUM(E41:E42),1) &amp; "}.")," ") &amp; IFERROR(IF(F43=ROUND(SUM(F41:F42),1)," "," Стр. 28, Гр. 2 [F43]  д.б. = [Окр(Сум(F41:F42),1)] {" &amp; ROUND(SUM(F41:F42),1) &amp; "}.")," ") &amp; IFERROR(IF(G43=ROUND(SUM(G41:G42),1)," "," Стр. 28, Гр. 3 [G43]  д.б. = [Окр(Сум(G41:G42),1)] {" &amp; ROUND(SUM(G41:G42),1) &amp; "}.")," ") &amp; IFERROR(IF(H43=ROUND(SUM(H41:H42),1)," "," Стр. 28, Гр. 4 [H43]  д.б. = [Окр(Сум(H41:H42),1)] {" &amp; ROUND(SUM(H41:H42),1) &amp; "}.")," ") &amp; IFERROR(IF(I43=ROUND(G39/G6*100,1)," "," Стр. 28, Гр. 5 [I43]  д.б. = [Окр(G39/G6*100,1)] {" &amp; ROUND(G39/G6*100,1) &amp; "}.")," ") &amp; IFERROR(IF(J43=ROUND(H39/H6*100,1)," "," Стр. 28, Гр. 6 [J43]  д.б. = [Окр(H39/H6*100,1)] {" &amp; ROUND(H39/H6*100,1) &amp; "}.")," ") &amp; IFERROR(IF(K43=ROUND(G43/E43*1000,1)," "," Стр. 28, Гр. 7 [K43]  д.б. = [Окр(G43/E43*1000,1)] {" &amp; ROUND(G43/E43*1000,1) &amp; "}.")," ") &amp; IFERROR(IF(L43=ROUND(H43/F43*1000,1)," "," Стр. 28, Гр. 8 [L43]  д.б. = [Окр(H43/F43*1000,1)] {" &amp; ROUND(H43/F43*1000,1) &amp; "}.")," ") &amp; IFERROR(IF(M43=ROUND(K43/L43*100,1)," "," Стр. 28, Гр. 9 [M43]  д.б. = [Окр(K43/L43*100,1)] {" &amp; ROUND(K43/L43*100,1) &amp; "}.")," ") &amp; IFERROR(IF(N43=ROUND(E43/F43*100,1)," "," Стр. 28, Гр. 10 [N43]  д.б. = [Окр(E43/F43*100,1)] {" &amp; ROUND(E43/F43*100,1) &amp; "}.")," ") &amp; IFERROR(IF(O43=ROUND(G43/H43*100,1)," "," Стр. 28, Гр. 11 [O43]  д.б. = [Окр(G43/H43*100,1)] {" &amp; ROUND(G43/H43*100,1) &amp; "}.")," ") &amp; IFERROR(IF(P43=ROUND(SUM(P41:P42),1)," "," Стр. 28, Гр. 12 [P43]  д.б. = [Окр(Сум(P41:P42),1)] {" &amp; ROUND(SUM(P41:P42),1) &amp; "}.")," ") &amp; IFERROR(IF(Q43=ROUND(SUM(Q41:Q42),1)," "," Стр. 28, Гр. 13 [Q43]  д.б. = [Окр(Сум(Q41:Q42),1)] {" &amp; ROUND(SUM(Q41:Q42),1) &amp; "}.")," ")</f>
        <v xml:space="preserve">             </v>
      </c>
    </row>
    <row r="44" spans="1:20" ht="45" customHeight="1" x14ac:dyDescent="0.25">
      <c r="A44" s="3" t="s">
        <v>57</v>
      </c>
      <c r="B44" s="1"/>
      <c r="C44" s="1" t="s">
        <v>1</v>
      </c>
      <c r="D44" s="1" t="s">
        <v>1</v>
      </c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</row>
    <row r="45" spans="1:20" ht="45" customHeight="1" x14ac:dyDescent="0.25">
      <c r="A45" s="3" t="s">
        <v>58</v>
      </c>
      <c r="B45" s="1" t="s">
        <v>96</v>
      </c>
      <c r="C45" s="1" t="s">
        <v>1</v>
      </c>
      <c r="D45" s="1" t="s">
        <v>1</v>
      </c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5" t="str">
        <f>IFERROR(IF(I45=ROUND(G41/G8*100,1)," "," Стр. 29, Гр. 5 [I45]  д.б. = [Окр(G41/G8*100,1)] {" &amp; ROUND(G41/G8*100,1) &amp; "}.")," ") &amp; IFERROR(IF(J45=ROUND(H41/H8*100,1)," "," Стр. 29, Гр. 6 [J45]  д.б. = [Окр(H41/H8*100,1)] {" &amp; ROUND(H41/H8*100,1) &amp; "}.")," ") &amp; IFERROR(IF(K45=ROUND(G45/E45*1000,1)," "," Стр. 29, Гр. 7 [K45]  д.б. = [Окр(G45/E45*1000,1)] {" &amp; ROUND(G45/E45*1000,1) &amp; "}.")," ") &amp; IFERROR(IF(L45=ROUND(H45/F45*1000,1)," "," Стр. 29, Гр. 8 [L45]  д.б. = [Окр(H45/F45*1000,1)] {" &amp; ROUND(H45/F45*1000,1) &amp; "}.")," ") &amp; IFERROR(IF(M45=ROUND(K45/L45*100,1)," "," Стр. 29, Гр. 9 [M45]  д.б. = [Окр(K45/L45*100,1)] {" &amp; ROUND(K45/L45*100,1) &amp; "}.")," ") &amp; IFERROR(IF(N45=ROUND(E45/F45*100,1)," "," Стр. 29, Гр. 10 [N45]  д.б. = [Окр(E45/F45*100,1)] {" &amp; ROUND(E45/F45*100,1) &amp; "}.")," ") &amp; IFERROR(IF(O45=ROUND(G45/H45*100,1)," "," Стр. 29, Гр. 11 [O45]  д.б. = [Окр(G45/H45*100,1)] {" &amp; ROUND(G45/H45*100,1) &amp; "}.")," ") &amp; IFERROR(IF(P45=ROUND(E41/E39*100,1)," "," Стр. 29, Гр. 12 [P45]  д.б. = [Окр(E41/E39*100,1)] {" &amp; ROUND(E41/E39*100,1) &amp; "}.")," ") &amp; IFERROR(IF(Q45=ROUND(F41/F39*100,1)," "," Стр. 29, Гр. 13 [Q45]  д.б. = [Окр(F41/F39*100,1)] {" &amp; ROUND(F41/F39*100,1) &amp; "}.")," ") &amp; IFERROR(IF(R45=ROUND(K41/K42*100,1)," "," Стр. 29, Гр. 14 [R45]  д.б. = [Окр(K41/K42*100,1)] {" &amp; ROUND(K41/K42*100,1) &amp; "}.")," ") &amp; IFERROR(IF(S45=ROUND(L41/L42*100,1)," "," Стр. 29, Гр. 15 [S45]  д.б. = [Окр(L41/L42*100,1)] {" &amp; ROUND(L41/L42*100,1) &amp; "}.")," ")</f>
        <v xml:space="preserve">           </v>
      </c>
    </row>
    <row r="46" spans="1:20" ht="45" customHeight="1" x14ac:dyDescent="0.25">
      <c r="A46" s="3" t="s">
        <v>60</v>
      </c>
      <c r="B46" s="1" t="s">
        <v>97</v>
      </c>
      <c r="C46" s="1" t="s">
        <v>1</v>
      </c>
      <c r="D46" s="1" t="s">
        <v>1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5" t="str">
        <f>IFERROR(IF(I46=ROUND(G42/G9*100,1)," "," Стр. 30, Гр. 5 [I46]  д.б. = [Окр(G42/G9*100,1)] {" &amp; ROUND(G42/G9*100,1) &amp; "}.")," ") &amp; IFERROR(IF(J46=ROUND(H42/H9*100,1)," "," Стр. 30, Гр. 6 [J46]  д.б. = [Окр(H42/H9*100,1)] {" &amp; ROUND(H42/H9*100,1) &amp; "}.")," ") &amp; IFERROR(IF(K46=ROUND(G46/E46*1000,1)," "," Стр. 30, Гр. 7 [K46]  д.б. = [Окр(G46/E46*1000,1)] {" &amp; ROUND(G46/E46*1000,1) &amp; "}.")," ") &amp; IFERROR(IF(L46=ROUND(H46/F46*1000,1)," "," Стр. 30, Гр. 8 [L46]  д.б. = [Окр(H46/F46*1000,1)] {" &amp; ROUND(H46/F46*1000,1) &amp; "}.")," ") &amp; IFERROR(IF(M46=ROUND(K46/L46*100,1)," "," Стр. 30, Гр. 9 [M46]  д.б. = [Окр(K46/L46*100,1)] {" &amp; ROUND(K46/L46*100,1) &amp; "}.")," ") &amp; IFERROR(IF(N46=ROUND(E46/F46*100,1)," "," Стр. 30, Гр. 10 [N46]  д.б. = [Окр(E46/F46*100,1)] {" &amp; ROUND(E46/F46*100,1) &amp; "}.")," ") &amp; IFERROR(IF(O46=ROUND(G46/H46*100,1)," "," Стр. 30, Гр. 11 [O46]  д.б. = [Окр(G46/H46*100,1)] {" &amp; ROUND(G46/H46*100,1) &amp; "}.")," ") &amp; IFERROR(IF(P46=ROUND(E42/E39*100,1)," "," Стр. 30, Гр. 12 [P46]  д.б. = [Окр(E42/E39*100,1)] {" &amp; ROUND(E42/E39*100,1) &amp; "}.")," ") &amp; IFERROR(IF(Q46=ROUND(F42/F39*100,1)," "," Стр. 30, Гр. 13 [Q46]  д.б. = [Окр(F42/F39*100,1)] {" &amp; ROUND(F42/F39*100,1) &amp; "}.")," ") &amp; IFERROR(IF(R46=ROUND(K42/K41*100,1)," "," Стр. 30, Гр. 14 [R46]  д.б. = [Окр(K42/K41*100,1)] {" &amp; ROUND(K42/K41*100,1) &amp; "}.")," ") &amp; IFERROR(IF(S46=ROUND(L42/L41*100,1)," "," Стр. 30, Гр. 15 [S46]  д.б. = [Окр(L42/L41*100,1)] {" &amp; ROUND(L42/L41*100,1) &amp; "}.")," ")</f>
        <v xml:space="preserve">           </v>
      </c>
    </row>
    <row r="47" spans="1:20" ht="45" customHeight="1" x14ac:dyDescent="0.25">
      <c r="A47" s="3" t="s">
        <v>98</v>
      </c>
      <c r="B47" s="1" t="s">
        <v>99</v>
      </c>
      <c r="C47" s="1" t="s">
        <v>100</v>
      </c>
      <c r="D47" s="1" t="s">
        <v>56</v>
      </c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5" t="str">
        <f>IFERROR(IF(E47=ROUND(SUM(E45:E46),1)," "," Стр. 31, Гр. 1 [E47]  д.б. = [Окр(Сум(E45:E46),1)] {" &amp; ROUND(SUM(E45:E46),1) &amp; "}.")," ") &amp; IFERROR(IF(F47=ROUND(SUM(F45:F46),1)," "," Стр. 31, Гр. 2 [F47]  д.б. = [Окр(Сум(F45:F46),1)] {" &amp; ROUND(SUM(F45:F46),1) &amp; "}.")," ") &amp; IFERROR(IF(G47=ROUND(SUM(G45:G46),1)," "," Стр. 31, Гр. 3 [G47]  д.б. = [Окр(Сум(G45:G46),1)] {" &amp; ROUND(SUM(G45:G46),1) &amp; "}.")," ") &amp; IFERROR(IF(H47=ROUND(SUM(H45:H46),1)," "," Стр. 31, Гр. 4 [H47]  д.б. = [Окр(Сум(H45:H46),1)] {" &amp; ROUND(SUM(H45:H46),1) &amp; "}.")," ") &amp; IFERROR(IF(I47=ROUND(G43/G6*100,1)," "," Стр. 31, Гр. 5 [I47]  д.б. = [Окр(G43/G6*100,1)] {" &amp; ROUND(G43/G6*100,1) &amp; "}.")," ") &amp; IFERROR(IF(J47=ROUND(H43/H6*100,1)," "," Стр. 31, Гр. 6 [J47]  д.б. = [Окр(H43/H6*100,1)] {" &amp; ROUND(H43/H6*100,1) &amp; "}.")," ") &amp; IFERROR(IF(K47=ROUND(G47/E47,1)," "," Стр. 31, Гр. 7 [K47]  д.б. = [Окр(G47/E47,1)] {" &amp; ROUND(G47/E47,1) &amp; "}.")," ") &amp; IFERROR(IF(L47=ROUND(H47/F47,1)," "," Стр. 31, Гр. 8 [L47]  д.б. = [Окр(H47/F47,1)] {" &amp; ROUND(H47/F47,1) &amp; "}.")," ") &amp; IFERROR(IF(M47=ROUND(K47/L47*100,1)," "," Стр. 31, Гр. 9 [M47]  д.б. = [Окр(K47/L47*100,1)] {" &amp; ROUND(K47/L47*100,1) &amp; "}.")," ") &amp; IFERROR(IF(N47=ROUND(E47/F47*100,1)," "," Стр. 31, Гр. 10 [N47]  д.б. = [Окр(E47/F47*100,1)] {" &amp; ROUND(E47/F47*100,1) &amp; "}.")," ") &amp; IFERROR(IF(O47=ROUND(G47/H47*100,1)," "," Стр. 31, Гр. 11 [O47]  д.б. = [Окр(G47/H47*100,1)] {" &amp; ROUND(G47/H47*100,1) &amp; "}.")," ") &amp; IFERROR(IF(P47=ROUND(SUM(P45:P46),1)," "," Стр. 31, Гр. 12 [P47]  д.б. = [Окр(Сум(P45:P46),1)] {" &amp; ROUND(SUM(P45:P46),1) &amp; "}.")," ") &amp; IFERROR(IF(Q47=ROUND(SUM(Q45:Q46),1)," "," Стр. 31, Гр. 13 [Q47]  д.б. = [Окр(Сум(Q45:Q46),1)] {" &amp; ROUND(SUM(Q45:Q46),1) &amp; "}.")," ")</f>
        <v xml:space="preserve">             </v>
      </c>
    </row>
    <row r="48" spans="1:20" ht="45" customHeight="1" x14ac:dyDescent="0.25">
      <c r="A48" s="3" t="s">
        <v>57</v>
      </c>
      <c r="B48" s="1"/>
      <c r="C48" s="1" t="s">
        <v>1</v>
      </c>
      <c r="D48" s="1" t="s">
        <v>1</v>
      </c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</row>
    <row r="49" spans="1:20" ht="45" customHeight="1" x14ac:dyDescent="0.25">
      <c r="A49" s="3" t="s">
        <v>58</v>
      </c>
      <c r="B49" s="1" t="s">
        <v>101</v>
      </c>
      <c r="C49" s="1" t="s">
        <v>1</v>
      </c>
      <c r="D49" s="1" t="s">
        <v>1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5" t="str">
        <f>IFERROR(IF(I49=ROUND(G45/G8*100,1)," "," Стр. 32, Гр. 5 [I49]  д.б. = [Окр(G45/G8*100,1)] {" &amp; ROUND(G45/G8*100,1) &amp; "}.")," ") &amp; IFERROR(IF(J49=ROUND(H45/H8*100,1)," "," Стр. 32, Гр. 6 [J49]  д.б. = [Окр(H45/H8*100,1)] {" &amp; ROUND(H45/H8*100,1) &amp; "}.")," ") &amp; IFERROR(IF(K49=ROUND(G49/E49,1)," "," Стр. 32, Гр. 7 [K49]  д.б. = [Окр(G49/E49,1)] {" &amp; ROUND(G49/E49,1) &amp; "}.")," ") &amp; IFERROR(IF(L49=ROUND(H49/F49,1)," "," Стр. 32, Гр. 8 [L49]  д.б. = [Окр(H49/F49,1)] {" &amp; ROUND(H49/F49,1) &amp; "}.")," ") &amp; IFERROR(IF(M49=ROUND(K49/L49*100,1)," "," Стр. 32, Гр. 9 [M49]  д.б. = [Окр(K49/L49*100,1)] {" &amp; ROUND(K49/L49*100,1) &amp; "}.")," ") &amp; IFERROR(IF(N49=ROUND(E49/F49*100,1)," "," Стр. 32, Гр. 10 [N49]  д.б. = [Окр(E49/F49*100,1)] {" &amp; ROUND(E49/F49*100,1) &amp; "}.")," ") &amp; IFERROR(IF(O49=ROUND(G49/H49*100,1)," "," Стр. 32, Гр. 11 [O49]  д.б. = [Окр(G49/H49*100,1)] {" &amp; ROUND(G49/H49*100,1) &amp; "}.")," ") &amp; IFERROR(IF(P49=ROUND(E45/E43*100,1)," "," Стр. 32, Гр. 12 [P49]  д.б. = [Окр(E45/E43*100,1)] {" &amp; ROUND(E45/E43*100,1) &amp; "}.")," ") &amp; IFERROR(IF(Q49=ROUND(F45/F43*100,1)," "," Стр. 32, Гр. 13 [Q49]  д.б. = [Окр(F45/F43*100,1)] {" &amp; ROUND(F45/F43*100,1) &amp; "}.")," ") &amp; IFERROR(IF(R49=ROUND(K45/K46*100,1)," "," Стр. 32, Гр. 14 [R49]  д.б. = [Окр(K45/K46*100,1)] {" &amp; ROUND(K45/K46*100,1) &amp; "}.")," ") &amp; IFERROR(IF(S49=ROUND(L45/L46*100,1)," "," Стр. 32, Гр. 15 [S49]  д.б. = [Окр(L45/L46*100,1)] {" &amp; ROUND(L45/L46*100,1) &amp; "}.")," ")</f>
        <v xml:space="preserve">           </v>
      </c>
    </row>
    <row r="50" spans="1:20" ht="45" customHeight="1" x14ac:dyDescent="0.25">
      <c r="A50" s="3" t="s">
        <v>60</v>
      </c>
      <c r="B50" s="1" t="s">
        <v>102</v>
      </c>
      <c r="C50" s="1" t="s">
        <v>1</v>
      </c>
      <c r="D50" s="1" t="s">
        <v>1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5" t="str">
        <f>IFERROR(IF(I50=ROUND(G46/G9*100,1)," "," Стр. 33, Гр. 5 [I50]  д.б. = [Окр(G46/G9*100,1)] {" &amp; ROUND(G46/G9*100,1) &amp; "}.")," ") &amp; IFERROR(IF(J50=ROUND(H46/H9*100,1)," "," Стр. 33, Гр. 6 [J50]  д.б. = [Окр(H46/H9*100,1)] {" &amp; ROUND(H46/H9*100,1) &amp; "}.")," ") &amp; IFERROR(IF(K50=ROUND(G50/E50,1)," "," Стр. 33, Гр. 7 [K50]  д.б. = [Окр(G50/E50,1)] {" &amp; ROUND(G50/E50,1) &amp; "}.")," ") &amp; IFERROR(IF(L50=ROUND(H50/F50,1)," "," Стр. 33, Гр. 8 [L50]  д.б. = [Окр(H50/F50,1)] {" &amp; ROUND(H50/F50,1) &amp; "}.")," ") &amp; IFERROR(IF(M50=ROUND(K50/L50*100,1)," "," Стр. 33, Гр. 9 [M50]  д.б. = [Окр(K50/L50*100,1)] {" &amp; ROUND(K50/L50*100,1) &amp; "}.")," ") &amp; IFERROR(IF(N50=ROUND(E50/F50*100,1)," "," Стр. 33, Гр. 10 [N50]  д.б. = [Окр(E50/F50*100,1)] {" &amp; ROUND(E50/F50*100,1) &amp; "}.")," ") &amp; IFERROR(IF(O50=ROUND(G50/H50*100,1)," "," Стр. 33, Гр. 11 [O50]  д.б. = [Окр(G50/H50*100,1)] {" &amp; ROUND(G50/H50*100,1) &amp; "}.")," ") &amp; IFERROR(IF(P50=ROUND(E46/E43*100,1)," "," Стр. 33, Гр. 12 [P50]  д.б. = [Окр(E46/E43*100,1)] {" &amp; ROUND(E46/E43*100,1) &amp; "}.")," ") &amp; IFERROR(IF(Q50=ROUND(F46/F43*100,1)," "," Стр. 33, Гр. 13 [Q50]  д.б. = [Окр(F46/F43*100,1)] {" &amp; ROUND(F46/F43*100,1) &amp; "}.")," ") &amp; IFERROR(IF(R50=ROUND(K46/K45*100,1)," "," Стр. 33, Гр. 14 [R50]  д.б. = [Окр(K46/K45*100,1)] {" &amp; ROUND(K46/K45*100,1) &amp; "}.")," ") &amp; IFERROR(IF(S50=ROUND(L46/L45*100,1)," "," Стр. 33, Гр. 15 [S50]  д.б. = [Окр(L46/L45*100,1)] {" &amp; ROUND(L46/L45*100,1) &amp; "}.")," ")</f>
        <v xml:space="preserve">           </v>
      </c>
    </row>
    <row r="51" spans="1:20" ht="45" customHeight="1" x14ac:dyDescent="0.25">
      <c r="A51" s="3" t="s">
        <v>103</v>
      </c>
      <c r="B51" s="1" t="s">
        <v>104</v>
      </c>
      <c r="C51" s="1" t="s">
        <v>105</v>
      </c>
      <c r="D51" s="1" t="s">
        <v>56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5" t="str">
        <f>IFERROR(IF(E51=ROUND(SUM(E49:E50),1)," "," Стр. 34, Гр. 1 [E51]  д.б. = [Окр(Сум(E49:E50),1)] {" &amp; ROUND(SUM(E49:E50),1) &amp; "}.")," ") &amp; IFERROR(IF(F51=ROUND(SUM(F49:F50),1)," "," Стр. 34, Гр. 2 [F51]  д.б. = [Окр(Сум(F49:F50),1)] {" &amp; ROUND(SUM(F49:F50),1) &amp; "}.")," ") &amp; IFERROR(IF(G51=ROUND(SUM(G49:G50),1)," "," Стр. 34, Гр. 3 [G51]  д.б. = [Окр(Сум(G49:G50),1)] {" &amp; ROUND(SUM(G49:G50),1) &amp; "}.")," ") &amp; IFERROR(IF(H51=ROUND(SUM(H49:H50),1)," "," Стр. 34, Гр. 4 [H51]  д.б. = [Окр(Сум(H49:H50),1)] {" &amp; ROUND(SUM(H49:H50),1) &amp; "}.")," ") &amp; IFERROR(IF(I51=ROUND(G47/G6*100,1)," "," Стр. 34, Гр. 5 [I51]  д.б. = [Окр(G47/G6*100,1)] {" &amp; ROUND(G47/G6*100,1) &amp; "}.")," ") &amp; IFERROR(IF(J51=ROUND(H47/H6*100,1)," "," Стр. 34, Гр. 6 [J51]  д.б. = [Окр(H47/H6*100,1)] {" &amp; ROUND(H47/H6*100,1) &amp; "}.")," ") &amp; IFERROR(IF(K51=ROUND(G51/E51,1)," "," Стр. 34, Гр. 7 [K51]  д.б. = [Окр(G51/E51,1)] {" &amp; ROUND(G51/E51,1) &amp; "}.")," ") &amp; IFERROR(IF(L51=ROUND(H51/F51,1)," "," Стр. 34, Гр. 8 [L51]  д.б. = [Окр(H51/F51,1)] {" &amp; ROUND(H51/F51,1) &amp; "}.")," ") &amp; IFERROR(IF(M51=ROUND(K51/L51*100,1)," "," Стр. 34, Гр. 9 [M51]  д.б. = [Окр(K51/L51*100,1)] {" &amp; ROUND(K51/L51*100,1) &amp; "}.")," ") &amp; IFERROR(IF(N51=ROUND(E51/F51*100,1)," "," Стр. 34, Гр. 10 [N51]  д.б. = [Окр(E51/F51*100,1)] {" &amp; ROUND(E51/F51*100,1) &amp; "}.")," ") &amp; IFERROR(IF(O51=ROUND(G51/H51*100,1)," "," Стр. 34, Гр. 11 [O51]  д.б. = [Окр(G51/H51*100,1)] {" &amp; ROUND(G51/H51*100,1) &amp; "}.")," ") &amp; IFERROR(IF(P51=ROUND(SUM(P49:P50),1)," "," Стр. 34, Гр. 12 [P51]  д.б. = [Окр(Сум(P49:P50),1)] {" &amp; ROUND(SUM(P49:P50),1) &amp; "}.")," ") &amp; IFERROR(IF(Q51=ROUND(SUM(Q49:Q50),1)," "," Стр. 34, Гр. 13 [Q51]  д.б. = [Окр(Сум(Q49:Q50),1)] {" &amp; ROUND(SUM(Q49:Q50),1) &amp; "}.")," ")</f>
        <v xml:space="preserve">             </v>
      </c>
    </row>
    <row r="52" spans="1:20" ht="45" customHeight="1" x14ac:dyDescent="0.25">
      <c r="A52" s="3" t="s">
        <v>57</v>
      </c>
      <c r="B52" s="1"/>
      <c r="C52" s="1" t="s">
        <v>106</v>
      </c>
      <c r="D52" s="1" t="s">
        <v>1</v>
      </c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</row>
    <row r="53" spans="1:20" ht="45" customHeight="1" x14ac:dyDescent="0.25">
      <c r="A53" s="3" t="s">
        <v>58</v>
      </c>
      <c r="B53" s="1" t="s">
        <v>107</v>
      </c>
      <c r="C53" s="1" t="s">
        <v>1</v>
      </c>
      <c r="D53" s="1" t="s">
        <v>1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5" t="str">
        <f>IFERROR(IF(I53=ROUND(G49/G8*100,1)," "," Стр. 35, Гр. 5 [I53]  д.б. = [Окр(G49/G8*100,1)] {" &amp; ROUND(G49/G8*100,1) &amp; "}.")," ") &amp; IFERROR(IF(J53=ROUND(H49/H8*100,1)," "," Стр. 35, Гр. 6 [J53]  д.б. = [Окр(H49/H8*100,1)] {" &amp; ROUND(H49/H8*100,1) &amp; "}.")," ") &amp; IFERROR(IF(K53=ROUND(G53/E53,1)," "," Стр. 35, Гр. 7 [K53]  д.б. = [Окр(G53/E53,1)] {" &amp; ROUND(G53/E53,1) &amp; "}.")," ") &amp; IFERROR(IF(L53=ROUND(H53/F53,1)," "," Стр. 35, Гр. 8 [L53]  д.б. = [Окр(H53/F53,1)] {" &amp; ROUND(H53/F53,1) &amp; "}.")," ") &amp; IFERROR(IF(M53=ROUND(K53/L53*100,1)," "," Стр. 35, Гр. 9 [M53]  д.б. = [Окр(K53/L53*100,1)] {" &amp; ROUND(K53/L53*100,1) &amp; "}.")," ") &amp; IFERROR(IF(N53=ROUND(E53/F53*100,1)," "," Стр. 35, Гр. 10 [N53]  д.б. = [Окр(E53/F53*100,1)] {" &amp; ROUND(E53/F53*100,1) &amp; "}.")," ") &amp; IFERROR(IF(O53=ROUND(G53/H53*100,1)," "," Стр. 35, Гр. 11 [O53]  д.б. = [Окр(G53/H53*100,1)] {" &amp; ROUND(G53/H53*100,1) &amp; "}.")," ") &amp; IFERROR(IF(P53=ROUND(E49/E47*100,1)," "," Стр. 35, Гр. 12 [P53]  д.б. = [Окр(E49/E47*100,1)] {" &amp; ROUND(E49/E47*100,1) &amp; "}.")," ") &amp; IFERROR(IF(Q53=ROUND(F49/F47*100,1)," "," Стр. 35, Гр. 13 [Q53]  д.б. = [Окр(F49/F47*100,1)] {" &amp; ROUND(F49/F47*100,1) &amp; "}.")," ") &amp; IFERROR(IF(R53=ROUND(K49/K50*100,1)," "," Стр. 35, Гр. 14 [R53]  д.б. = [Окр(K49/K50*100,1)] {" &amp; ROUND(K49/K50*100,1) &amp; "}.")," ") &amp; IFERROR(IF(S53=ROUND(L49/L50*100,1)," "," Стр. 35, Гр. 15 [S53]  д.б. = [Окр(L49/L50*100,1)] {" &amp; ROUND(L49/L50*100,1) &amp; "}.")," ")</f>
        <v xml:space="preserve">           </v>
      </c>
    </row>
    <row r="54" spans="1:20" ht="45" customHeight="1" x14ac:dyDescent="0.25">
      <c r="A54" s="3" t="s">
        <v>60</v>
      </c>
      <c r="B54" s="1" t="s">
        <v>108</v>
      </c>
      <c r="C54" s="1" t="s">
        <v>1</v>
      </c>
      <c r="D54" s="1" t="s">
        <v>1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5" t="str">
        <f>IFERROR(IF(I54=ROUND(G50/G9*100,1)," "," Стр. 36, Гр. 5 [I54]  д.б. = [Окр(G50/G9*100,1)] {" &amp; ROUND(G50/G9*100,1) &amp; "}.")," ") &amp; IFERROR(IF(J54=ROUND(H50/H9*100,1)," "," Стр. 36, Гр. 6 [J54]  д.б. = [Окр(H50/H9*100,1)] {" &amp; ROUND(H50/H9*100,1) &amp; "}.")," ") &amp; IFERROR(IF(K54=ROUND(G54/E54,1)," "," Стр. 36, Гр. 7 [K54]  д.б. = [Окр(G54/E54,1)] {" &amp; ROUND(G54/E54,1) &amp; "}.")," ") &amp; IFERROR(IF(L54=ROUND(H54/F54,1)," "," Стр. 36, Гр. 8 [L54]  д.б. = [Окр(H54/F54,1)] {" &amp; ROUND(H54/F54,1) &amp; "}.")," ") &amp; IFERROR(IF(M54=ROUND(K54/L54*100,1)," "," Стр. 36, Гр. 9 [M54]  д.б. = [Окр(K54/L54*100,1)] {" &amp; ROUND(K54/L54*100,1) &amp; "}.")," ") &amp; IFERROR(IF(N54=ROUND(E54/F54*100,1)," "," Стр. 36, Гр. 10 [N54]  д.б. = [Окр(E54/F54*100,1)] {" &amp; ROUND(E54/F54*100,1) &amp; "}.")," ") &amp; IFERROR(IF(O54=ROUND(G54/H54*100,1)," "," Стр. 36, Гр. 11 [O54]  д.б. = [Окр(G54/H54*100,1)] {" &amp; ROUND(G54/H54*100,1) &amp; "}.")," ") &amp; IFERROR(IF(P54=ROUND(E50/E47*100,1)," "," Стр. 36, Гр. 12 [P54]  д.б. = [Окр(E50/E47*100,1)] {" &amp; ROUND(E50/E47*100,1) &amp; "}.")," ") &amp; IFERROR(IF(Q54=ROUND(F50/F47*100,1)," "," Стр. 36, Гр. 13 [Q54]  д.б. = [Окр(F50/F47*100,1)] {" &amp; ROUND(F50/F47*100,1) &amp; "}.")," ") &amp; IFERROR(IF(R54=ROUND(K50/K49*100,1)," "," Стр. 36, Гр. 14 [R54]  д.б. = [Окр(K50/K49*100,1)] {" &amp; ROUND(K50/K49*100,1) &amp; "}.")," ") &amp; IFERROR(IF(S54=ROUND(L50/L49*100,1)," "," Стр. 36, Гр. 15 [S54]  д.б. = [Окр(L50/L49*100,1)] {" &amp; ROUND(L50/L49*100,1) &amp; "}.")," ")</f>
        <v xml:space="preserve">           </v>
      </c>
    </row>
    <row r="55" spans="1:20" ht="45" customHeight="1" x14ac:dyDescent="0.25">
      <c r="A55" s="3" t="s">
        <v>109</v>
      </c>
      <c r="B55" s="1" t="s">
        <v>110</v>
      </c>
      <c r="C55" s="1" t="s">
        <v>111</v>
      </c>
      <c r="D55" s="1" t="s">
        <v>112</v>
      </c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5" t="str">
        <f>IFERROR(IF(E55=ROUND(SUM(E53:E54),1)," "," Стр. 37, Гр. 1 [E55]  д.б. = [Окр(Сум(E53:E54),1)] {" &amp; ROUND(SUM(E53:E54),1) &amp; "}.")," ") &amp; IFERROR(IF(F55=ROUND(SUM(F53:F54),1)," "," Стр. 37, Гр. 2 [F55]  д.б. = [Окр(Сум(F53:F54),1)] {" &amp; ROUND(SUM(F53:F54),1) &amp; "}.")," ") &amp; IFERROR(IF(G55=ROUND(SUM(G53:G54),1)," "," Стр. 37, Гр. 3 [G55]  д.б. = [Окр(Сум(G53:G54),1)] {" &amp; ROUND(SUM(G53:G54),1) &amp; "}.")," ") &amp; IFERROR(IF(H55=ROUND(SUM(H53:H54),1)," "," Стр. 37, Гр. 4 [H55]  д.б. = [Окр(Сум(H53:H54),1)] {" &amp; ROUND(SUM(H53:H54),1) &amp; "}.")," ") &amp; IFERROR(IF(I55=ROUND(G51/G6*100,1)," "," Стр. 37, Гр. 5 [I55]  д.б. = [Окр(G51/G6*100,1)] {" &amp; ROUND(G51/G6*100,1) &amp; "}.")," ") &amp; IFERROR(IF(J55=ROUND(H51/H6*100,1)," "," Стр. 37, Гр. 6 [J55]  д.б. = [Окр(H51/H6*100,1)] {" &amp; ROUND(H51/H6*100,1) &amp; "}.")," ") &amp; IFERROR(IF(K55=ROUND(G55/E55,1)," "," Стр. 37, Гр. 7 [K55]  д.б. = [Окр(G55/E55,1)] {" &amp; ROUND(G55/E55,1) &amp; "}.")," ") &amp; IFERROR(IF(L55=ROUND(H55/F55,1)," "," Стр. 37, Гр. 8 [L55]  д.б. = [Окр(H55/F55,1)] {" &amp; ROUND(H55/F55,1) &amp; "}.")," ") &amp; IFERROR(IF(M55=ROUND(K55/L55*100,1)," "," Стр. 37, Гр. 9 [M55]  д.б. = [Окр(K55/L55*100,1)] {" &amp; ROUND(K55/L55*100,1) &amp; "}.")," ") &amp; IFERROR(IF(N55=ROUND(E55/F55*100,1)," "," Стр. 37, Гр. 10 [N55]  д.б. = [Окр(E55/F55*100,1)] {" &amp; ROUND(E55/F55*100,1) &amp; "}.")," ") &amp; IFERROR(IF(O55=ROUND(G55/H55*100,1)," "," Стр. 37, Гр. 11 [O55]  д.б. = [Окр(G55/H55*100,1)] {" &amp; ROUND(G55/H55*100,1) &amp; "}.")," ") &amp; IFERROR(IF(P55=ROUND(SUM(P53:P54),1)," "," Стр. 37, Гр. 12 [P55]  д.б. = [Окр(Сум(P53:P54),1)] {" &amp; ROUND(SUM(P53:P54),1) &amp; "}.")," ") &amp; IFERROR(IF(Q55=ROUND(SUM(Q53:Q54),1)," "," Стр. 37, Гр. 13 [Q55]  д.б. = [Окр(Сум(Q53:Q54),1)] {" &amp; ROUND(SUM(Q53:Q54),1) &amp; "}.")," ")</f>
        <v xml:space="preserve">             </v>
      </c>
    </row>
    <row r="56" spans="1:20" ht="45" customHeight="1" x14ac:dyDescent="0.25">
      <c r="A56" s="3" t="s">
        <v>57</v>
      </c>
      <c r="B56" s="1"/>
      <c r="C56" s="1" t="s">
        <v>1</v>
      </c>
      <c r="D56" s="1" t="s">
        <v>1</v>
      </c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</row>
    <row r="57" spans="1:20" ht="45" customHeight="1" x14ac:dyDescent="0.25">
      <c r="A57" s="3" t="s">
        <v>58</v>
      </c>
      <c r="B57" s="1" t="s">
        <v>113</v>
      </c>
      <c r="C57" s="1" t="s">
        <v>1</v>
      </c>
      <c r="D57" s="1" t="s">
        <v>1</v>
      </c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5" t="str">
        <f>IFERROR(IF(I57=ROUND(G53/G8*100,1)," "," Стр. 38, Гр. 5 [I57]  д.б. = [Окр(G53/G8*100,1)] {" &amp; ROUND(G53/G8*100,1) &amp; "}.")," ") &amp; IFERROR(IF(J57=ROUND(H53/H8*100,1)," "," Стр. 38, Гр. 6 [J57]  д.б. = [Окр(H53/H8*100,1)] {" &amp; ROUND(H53/H8*100,1) &amp; "}.")," ") &amp; IFERROR(IF(K57=ROUND(G57/E57,1)," "," Стр. 38, Гр. 7 [K57]  д.б. = [Окр(G57/E57,1)] {" &amp; ROUND(G57/E57,1) &amp; "}.")," ") &amp; IFERROR(IF(L57=ROUND(H57/F57,1)," "," Стр. 38, Гр. 8 [L57]  д.б. = [Окр(H57/F57,1)] {" &amp; ROUND(H57/F57,1) &amp; "}.")," ") &amp; IFERROR(IF(M57=ROUND(K57/L57*100,1)," "," Стр. 38, Гр. 9 [M57]  д.б. = [Окр(K57/L57*100,1)] {" &amp; ROUND(K57/L57*100,1) &amp; "}.")," ") &amp; IFERROR(IF(N57=ROUND(E57/F57*100,1)," "," Стр. 38, Гр. 10 [N57]  д.б. = [Окр(E57/F57*100,1)] {" &amp; ROUND(E57/F57*100,1) &amp; "}.")," ") &amp; IFERROR(IF(O57=ROUND(G57/H57*100,1)," "," Стр. 38, Гр. 11 [O57]  д.б. = [Окр(G57/H57*100,1)] {" &amp; ROUND(G57/H57*100,1) &amp; "}.")," ") &amp; IFERROR(IF(P57=ROUND(E53/E51*100,1)," "," Стр. 38, Гр. 12 [P57]  д.б. = [Окр(E53/E51*100,1)] {" &amp; ROUND(E53/E51*100,1) &amp; "}.")," ") &amp; IFERROR(IF(Q57=ROUND(F53/F51*100,1)," "," Стр. 38, Гр. 13 [Q57]  д.б. = [Окр(F53/F51*100,1)] {" &amp; ROUND(F53/F51*100,1) &amp; "}.")," ") &amp; IFERROR(IF(R57=ROUND(K53/K54*100,1)," "," Стр. 38, Гр. 14 [R57]  д.б. = [Окр(K53/K54*100,1)] {" &amp; ROUND(K53/K54*100,1) &amp; "}.")," ") &amp; IFERROR(IF(S57=ROUND(L53/L54*100,1)," "," Стр. 38, Гр. 15 [S57]  д.б. = [Окр(L53/L54*100,1)] {" &amp; ROUND(L53/L54*100,1) &amp; "}.")," ")</f>
        <v xml:space="preserve">           </v>
      </c>
    </row>
    <row r="58" spans="1:20" ht="45" customHeight="1" x14ac:dyDescent="0.25">
      <c r="A58" s="3" t="s">
        <v>60</v>
      </c>
      <c r="B58" s="1" t="s">
        <v>114</v>
      </c>
      <c r="C58" s="1" t="s">
        <v>1</v>
      </c>
      <c r="D58" s="1" t="s">
        <v>1</v>
      </c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5" t="str">
        <f>IFERROR(IF(I58=ROUND(G54/G9*100,1)," "," Стр. 39, Гр. 5 [I58]  д.б. = [Окр(G54/G9*100,1)] {" &amp; ROUND(G54/G9*100,1) &amp; "}.")," ") &amp; IFERROR(IF(J58=ROUND(H54/H9*100,1)," "," Стр. 39, Гр. 6 [J58]  д.б. = [Окр(H54/H9*100,1)] {" &amp; ROUND(H54/H9*100,1) &amp; "}.")," ") &amp; IFERROR(IF(K58=ROUND(G58/E58,1)," "," Стр. 39, Гр. 7 [K58]  д.б. = [Окр(G58/E58,1)] {" &amp; ROUND(G58/E58,1) &amp; "}.")," ") &amp; IFERROR(IF(L58=ROUND(H58/F58,1)," "," Стр. 39, Гр. 8 [L58]  д.б. = [Окр(H58/F58,1)] {" &amp; ROUND(H58/F58,1) &amp; "}.")," ") &amp; IFERROR(IF(M58=ROUND(K58/L58*100,1)," "," Стр. 39, Гр. 9 [M58]  д.б. = [Окр(K58/L58*100,1)] {" &amp; ROUND(K58/L58*100,1) &amp; "}.")," ") &amp; IFERROR(IF(N58=ROUND(E58/F58*100,1)," "," Стр. 39, Гр. 10 [N58]  д.б. = [Окр(E58/F58*100,1)] {" &amp; ROUND(E58/F58*100,1) &amp; "}.")," ") &amp; IFERROR(IF(O58=ROUND(G58/H58*100,1)," "," Стр. 39, Гр. 11 [O58]  д.б. = [Окр(G58/H58*100,1)] {" &amp; ROUND(G58/H58*100,1) &amp; "}.")," ") &amp; IFERROR(IF(P58=ROUND(E54/E51*100,1)," "," Стр. 39, Гр. 12 [P58]  д.б. = [Окр(E54/E51*100,1)] {" &amp; ROUND(E54/E51*100,1) &amp; "}.")," ") &amp; IFERROR(IF(Q58=ROUND(F54/F51*100,1)," "," Стр. 39, Гр. 13 [Q58]  д.б. = [Окр(F54/F51*100,1)] {" &amp; ROUND(F54/F51*100,1) &amp; "}.")," ") &amp; IFERROR(IF(R58=ROUND(K54/K53*100,1)," "," Стр. 39, Гр. 14 [R58]  д.б. = [Окр(K54/K53*100,1)] {" &amp; ROUND(K54/K53*100,1) &amp; "}.")," ") &amp; IFERROR(IF(S58=ROUND(L54/L53*100,1)," "," Стр. 39, Гр. 15 [S58]  д.б. = [Окр(L54/L53*100,1)] {" &amp; ROUND(L54/L53*100,1) &amp; "}.")," ")</f>
        <v xml:space="preserve">           </v>
      </c>
    </row>
    <row r="59" spans="1:20" ht="45" customHeight="1" x14ac:dyDescent="0.25">
      <c r="A59" s="3" t="s">
        <v>115</v>
      </c>
      <c r="B59" s="1" t="s">
        <v>116</v>
      </c>
      <c r="C59" s="1" t="s">
        <v>117</v>
      </c>
      <c r="D59" s="1" t="s">
        <v>56</v>
      </c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5" t="str">
        <f>IFERROR(IF(E59=ROUND(SUM(E57:E58),1)," "," Стр. 40, Гр. 1 [E59]  д.б. = [Окр(Сум(E57:E58),1)] {" &amp; ROUND(SUM(E57:E58),1) &amp; "}.")," ") &amp; IFERROR(IF(F59=ROUND(SUM(F57:F58),1)," "," Стр. 40, Гр. 2 [F59]  д.б. = [Окр(Сум(F57:F58),1)] {" &amp; ROUND(SUM(F57:F58),1) &amp; "}.")," ") &amp; IFERROR(IF(G59=ROUND(SUM(G57:G58),1)," "," Стр. 40, Гр. 3 [G59]  д.б. = [Окр(Сум(G57:G58),1)] {" &amp; ROUND(SUM(G57:G58),1) &amp; "}.")," ") &amp; IFERROR(IF(H59=ROUND(SUM(H57:H58),1)," "," Стр. 40, Гр. 4 [H59]  д.б. = [Окр(Сум(H57:H58),1)] {" &amp; ROUND(SUM(H57:H58),1) &amp; "}.")," ") &amp; IFERROR(IF(I59=ROUND(G55/G6*100,1)," "," Стр. 40, Гр. 5 [I59]  д.б. = [Окр(G55/G6*100,1)] {" &amp; ROUND(G55/G6*100,1) &amp; "}.")," ") &amp; IFERROR(IF(J59=ROUND(H55/H6*100,1)," "," Стр. 40, Гр. 6 [J59]  д.б. = [Окр(H55/H6*100,1)] {" &amp; ROUND(H55/H6*100,1) &amp; "}.")," ") &amp; IFERROR(IF(K59=ROUND(G59/E59*100,1)," "," Стр. 40, Гр. 7 [K59]  д.б. = [Окр(G59/E59*100,1)] {" &amp; ROUND(G59/E59*100,1) &amp; "}.")," ") &amp; IFERROR(IF(L59=ROUND(H59/F59*100,1)," "," Стр. 40, Гр. 8 [L59]  д.б. = [Окр(H59/F59*100,1)] {" &amp; ROUND(H59/F59*100,1) &amp; "}.")," ") &amp; IFERROR(IF(M59=ROUND(K59/L59*100,1)," "," Стр. 40, Гр. 9 [M59]  д.б. = [Окр(K59/L59*100,1)] {" &amp; ROUND(K59/L59*100,1) &amp; "}.")," ") &amp; IFERROR(IF(N59=ROUND(E59/F59*100,1)," "," Стр. 40, Гр. 10 [N59]  д.б. = [Окр(E59/F59*100,1)] {" &amp; ROUND(E59/F59*100,1) &amp; "}.")," ") &amp; IFERROR(IF(O59=ROUND(G59/H59*100,1)," "," Стр. 40, Гр. 11 [O59]  д.б. = [Окр(G59/H59*100,1)] {" &amp; ROUND(G59/H59*100,1) &amp; "}.")," ") &amp; IFERROR(IF(P59=ROUND(SUM(P57:P58),1)," "," Стр. 40, Гр. 12 [P59]  д.б. = [Окр(Сум(P57:P58),1)] {" &amp; ROUND(SUM(P57:P58),1) &amp; "}.")," ") &amp; IFERROR(IF(Q59=ROUND(SUM(Q57:Q58),1)," "," Стр. 40, Гр. 13 [Q59]  д.б. = [Окр(Сум(Q57:Q58),1)] {" &amp; ROUND(SUM(Q57:Q58),1) &amp; "}.")," ")</f>
        <v xml:space="preserve">             </v>
      </c>
    </row>
    <row r="60" spans="1:20" ht="45" customHeight="1" x14ac:dyDescent="0.25">
      <c r="A60" s="3" t="s">
        <v>57</v>
      </c>
      <c r="B60" s="1"/>
      <c r="C60" s="1" t="s">
        <v>1</v>
      </c>
      <c r="D60" s="1" t="s">
        <v>1</v>
      </c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</row>
    <row r="61" spans="1:20" ht="45" customHeight="1" x14ac:dyDescent="0.25">
      <c r="A61" s="3" t="s">
        <v>49</v>
      </c>
      <c r="B61" s="1" t="s">
        <v>118</v>
      </c>
      <c r="C61" s="1" t="s">
        <v>1</v>
      </c>
      <c r="D61" s="1" t="s">
        <v>1</v>
      </c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5" t="str">
        <f>IFERROR(IF(I61=ROUND(G57/G8*100,1)," "," Стр. 41, Гр. 5 [I61]  д.б. = [Окр(G57/G8*100,1)] {" &amp; ROUND(G57/G8*100,1) &amp; "}.")," ") &amp; IFERROR(IF(J61=ROUND(H57/H8*100,1)," "," Стр. 41, Гр. 6 [J61]  д.б. = [Окр(H57/H8*100,1)] {" &amp; ROUND(H57/H8*100,1) &amp; "}.")," ") &amp; IFERROR(IF(K61=ROUND(G61/E61,1)," "," Стр. 41, Гр. 7 [K61]  д.б. = [Окр(G61/E61,1)] {" &amp; ROUND(G61/E61,1) &amp; "}.")," ") &amp; IFERROR(IF(L61=ROUND(H61/F61,1)," "," Стр. 41, Гр. 8 [L61]  д.б. = [Окр(H61/F61,1)] {" &amp; ROUND(H61/F61,1) &amp; "}.")," ") &amp; IFERROR(IF(M61=ROUND(K61/L61*100,1)," "," Стр. 41, Гр. 9 [M61]  д.б. = [Окр(K61/L61*100,1)] {" &amp; ROUND(K61/L61*100,1) &amp; "}.")," ") &amp; IFERROR(IF(N61=ROUND(E61/F61*100,1)," "," Стр. 41, Гр. 10 [N61]  д.б. = [Окр(E61/F61*100,1)] {" &amp; ROUND(E61/F61*100,1) &amp; "}.")," ") &amp; IFERROR(IF(O61=ROUND(G61/H61*100,1)," "," Стр. 41, Гр. 11 [O61]  д.б. = [Окр(G61/H61*100,1)] {" &amp; ROUND(G61/H61*100,1) &amp; "}.")," ") &amp; IFERROR(IF(P61=ROUND(E57/E55*100,1)," "," Стр. 41, Гр. 12 [P61]  д.б. = [Окр(E57/E55*100,1)] {" &amp; ROUND(E57/E55*100,1) &amp; "}.")," ") &amp; IFERROR(IF(Q61=ROUND(F57/F55*100,1)," "," Стр. 41, Гр. 13 [Q61]  д.б. = [Окр(F57/F55*100,1)] {" &amp; ROUND(F57/F55*100,1) &amp; "}.")," ") &amp; IFERROR(IF(R61=ROUND(K57/K58*100,1)," "," Стр. 41, Гр. 14 [R61]  д.б. = [Окр(K57/K58*100,1)] {" &amp; ROUND(K57/K58*100,1) &amp; "}.")," ") &amp; IFERROR(IF(S61=ROUND(L57/L58*100,1)," "," Стр. 41, Гр. 15 [S61]  д.б. = [Окр(L57/L58*100,1)] {" &amp; ROUND(L57/L58*100,1) &amp; "}.")," ")</f>
        <v xml:space="preserve">           </v>
      </c>
    </row>
    <row r="62" spans="1:20" ht="45" customHeight="1" x14ac:dyDescent="0.25">
      <c r="A62" s="3" t="s">
        <v>60</v>
      </c>
      <c r="B62" s="1" t="s">
        <v>119</v>
      </c>
      <c r="C62" s="1" t="s">
        <v>1</v>
      </c>
      <c r="D62" s="1" t="s">
        <v>1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5" t="str">
        <f>IFERROR(IF(I62=ROUND(G58/G9*100,1)," "," Стр. 42, Гр. 5 [I62]  д.б. = [Окр(G58/G9*100,1)] {" &amp; ROUND(G58/G9*100,1) &amp; "}.")," ") &amp; IFERROR(IF(J62=ROUND(H58/H9*100,1)," "," Стр. 42, Гр. 6 [J62]  д.б. = [Окр(H58/H9*100,1)] {" &amp; ROUND(H58/H9*100,1) &amp; "}.")," ") &amp; IFERROR(IF(K62=ROUND(G62/E62,1)," "," Стр. 42, Гр. 7 [K62]  д.б. = [Окр(G62/E62,1)] {" &amp; ROUND(G62/E62,1) &amp; "}.")," ") &amp; IFERROR(IF(L62=ROUND(H62/F62,1)," "," Стр. 42, Гр. 8 [L62]  д.б. = [Окр(H62/F62,1)] {" &amp; ROUND(H62/F62,1) &amp; "}.")," ") &amp; IFERROR(IF(M62=ROUND(K62/L62*100,1)," "," Стр. 42, Гр. 9 [M62]  д.б. = [Окр(K62/L62*100,1)] {" &amp; ROUND(K62/L62*100,1) &amp; "}.")," ") &amp; IFERROR(IF(N62=ROUND(E62/F62*100,1)," "," Стр. 42, Гр. 10 [N62]  д.б. = [Окр(E62/F62*100,1)] {" &amp; ROUND(E62/F62*100,1) &amp; "}.")," ") &amp; IFERROR(IF(O62=ROUND(G62/H62*100,1)," "," Стр. 42, Гр. 11 [O62]  д.б. = [Окр(G62/H62*100,1)] {" &amp; ROUND(G62/H62*100,1) &amp; "}.")," ") &amp; IFERROR(IF(P62=ROUND(E58/E55*100,1)," "," Стр. 42, Гр. 12 [P62]  д.б. = [Окр(E58/E55*100,1)] {" &amp; ROUND(E58/E55*100,1) &amp; "}.")," ") &amp; IFERROR(IF(Q62=ROUND(F58/F55*100,1)," "," Стр. 42, Гр. 13 [Q62]  д.б. = [Окр(F58/F55*100,1)] {" &amp; ROUND(F58/F55*100,1) &amp; "}.")," ") &amp; IFERROR(IF(R62=ROUND(K58/K57*100,1)," "," Стр. 42, Гр. 14 [R62]  д.б. = [Окр(K58/K57*100,1)] {" &amp; ROUND(K58/K57*100,1) &amp; "}.")," ") &amp; IFERROR(IF(S62=ROUND(L58/L57*100,1)," "," Стр. 42, Гр. 15 [S62]  д.б. = [Окр(L58/L57*100,1)] {" &amp; ROUND(L58/L57*100,1) &amp; "}.")," ")</f>
        <v xml:space="preserve">           </v>
      </c>
    </row>
    <row r="63" spans="1:20" ht="45" customHeight="1" x14ac:dyDescent="0.25">
      <c r="A63" s="3" t="s">
        <v>120</v>
      </c>
      <c r="B63" s="1" t="s">
        <v>121</v>
      </c>
      <c r="C63" s="1" t="s">
        <v>122</v>
      </c>
      <c r="D63" s="1" t="s">
        <v>56</v>
      </c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5" t="str">
        <f>IFERROR(IF(E63=ROUND(SUM(E61:E62),1)," "," Стр. 43, Гр. 1 [E63]  д.б. = [Окр(Сум(E61:E62),1)] {" &amp; ROUND(SUM(E61:E62),1) &amp; "}.")," ") &amp; IFERROR(IF(F63=ROUND(SUM(F61:F62),1)," "," Стр. 43, Гр. 2 [F63]  д.б. = [Окр(Сум(F61:F62),1)] {" &amp; ROUND(SUM(F61:F62),1) &amp; "}.")," ") &amp; IFERROR(IF(G63=ROUND(SUM(G61:G62),1)," "," Стр. 43, Гр. 3 [G63]  д.б. = [Окр(Сум(G61:G62),1)] {" &amp; ROUND(SUM(G61:G62),1) &amp; "}.")," ") &amp; IFERROR(IF(H63=ROUND(SUM(H61:H62),1)," "," Стр. 43, Гр. 4 [H63]  д.б. = [Окр(Сум(H61:H62),1)] {" &amp; ROUND(SUM(H61:H62),1) &amp; "}.")," ") &amp; IFERROR(IF(I63=ROUND(G61/G6*100,1)," "," Стр. 43, Гр. 5 [I63]  д.б. = [Окр(G61/G6*100,1)] {" &amp; ROUND(G61/G6*100,1) &amp; "}.")," ") &amp; IFERROR(IF(J63=ROUND(H61/H6*100,1)," "," Стр. 43, Гр. 6 [J63]  д.б. = [Окр(H61/H6*100,1)] {" &amp; ROUND(H61/H6*100,1) &amp; "}.")," ") &amp; IFERROR(IF(K63=ROUND(G63/E63,1)," "," Стр. 43, Гр. 7 [K63]  д.б. = [Окр(G63/E63,1)] {" &amp; ROUND(G63/E63,1) &amp; "}.")," ") &amp; IFERROR(IF(L63=ROUND(H63/F63,1)," "," Стр. 43, Гр. 8 [L63]  д.б. = [Окр(H63/F63,1)] {" &amp; ROUND(H63/F63,1) &amp; "}.")," ") &amp; IFERROR(IF(M63=ROUND(K63/L63*100,1)," "," Стр. 43, Гр. 9 [M63]  д.б. = [Окр(K63/L63*100,1)] {" &amp; ROUND(K63/L63*100,1) &amp; "}.")," ") &amp; IFERROR(IF(N63=ROUND(E63/F63*100,1)," "," Стр. 43, Гр. 10 [N63]  д.б. = [Окр(E63/F63*100,1)] {" &amp; ROUND(E63/F63*100,1) &amp; "}.")," ") &amp; IFERROR(IF(O63=ROUND(G63/H63*100,1)," "," Стр. 43, Гр. 11 [O63]  д.б. = [Окр(G63/H63*100,1)] {" &amp; ROUND(G63/H63*100,1) &amp; "}.")," ") &amp; IFERROR(IF(P63=ROUND(SUM(P61:P62),1)," "," Стр. 43, Гр. 12 [P63]  д.б. = [Окр(Сум(P61:P62),1)] {" &amp; ROUND(SUM(P61:P62),1) &amp; "}.")," ") &amp; IFERROR(IF(Q63=ROUND(SUM(Q61:Q62),1)," "," Стр. 43, Гр. 13 [Q63]  д.б. = [Окр(Сум(Q61:Q62),1)] {" &amp; ROUND(SUM(Q61:Q62),1) &amp; "}.")," ")</f>
        <v xml:space="preserve">             </v>
      </c>
    </row>
    <row r="64" spans="1:20" ht="45" customHeight="1" x14ac:dyDescent="0.25">
      <c r="A64" s="3" t="s">
        <v>57</v>
      </c>
      <c r="B64" s="1"/>
      <c r="C64" s="1" t="s">
        <v>1</v>
      </c>
      <c r="D64" s="1" t="s">
        <v>1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</row>
    <row r="65" spans="1:20" ht="45" customHeight="1" x14ac:dyDescent="0.25">
      <c r="A65" s="3" t="s">
        <v>58</v>
      </c>
      <c r="B65" s="1" t="s">
        <v>123</v>
      </c>
      <c r="C65" s="1" t="s">
        <v>1</v>
      </c>
      <c r="D65" s="1" t="s">
        <v>1</v>
      </c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5" t="str">
        <f>IFERROR(IF(I65=ROUND(G61/G8*100,1)," "," Стр. 44, Гр. 5 [I65]  д.б. = [Окр(G61/G8*100,1)] {" &amp; ROUND(G61/G8*100,1) &amp; "}.")," ") &amp; IFERROR(IF(J65=ROUND(H61/H8*100,1)," "," Стр. 44, Гр. 6 [J65]  д.б. = [Окр(H61/H8*100,1)] {" &amp; ROUND(H61/H8*100,1) &amp; "}.")," ") &amp; IFERROR(IF(K65=ROUND(G65/E65,1)," "," Стр. 44, Гр. 7 [K65]  д.б. = [Окр(G65/E65,1)] {" &amp; ROUND(G65/E65,1) &amp; "}.")," ") &amp; IFERROR(IF(L65=ROUND(H65/F65,1)," "," Стр. 44, Гр. 8 [L65]  д.б. = [Окр(H65/F65,1)] {" &amp; ROUND(H65/F65,1) &amp; "}.")," ") &amp; IFERROR(IF(M65=ROUND(K65/L65*100,1)," "," Стр. 44, Гр. 9 [M65]  д.б. = [Окр(K65/L65*100,1)] {" &amp; ROUND(K65/L65*100,1) &amp; "}.")," ") &amp; IFERROR(IF(N65=ROUND(E65/F65*100,1)," "," Стр. 44, Гр. 10 [N65]  д.б. = [Окр(E65/F65*100,1)] {" &amp; ROUND(E65/F65*100,1) &amp; "}.")," ") &amp; IFERROR(IF(O65=ROUND(G65/H65*100,1)," "," Стр. 44, Гр. 11 [O65]  д.б. = [Окр(G65/H65*100,1)] {" &amp; ROUND(G65/H65*100,1) &amp; "}.")," ") &amp; IFERROR(IF(P65=ROUND(E61/E59*100,1)," "," Стр. 44, Гр. 12 [P65]  д.б. = [Окр(E61/E59*100,1)] {" &amp; ROUND(E61/E59*100,1) &amp; "}.")," ") &amp; IFERROR(IF(Q65=ROUND(F61/F59*100,1)," "," Стр. 44, Гр. 13 [Q65]  д.б. = [Окр(F61/F59*100,1)] {" &amp; ROUND(F61/F59*100,1) &amp; "}.")," ") &amp; IFERROR(IF(R65=ROUND(K61/K62*100,1)," "," Стр. 44, Гр. 14 [R65]  д.б. = [Окр(K61/K62*100,1)] {" &amp; ROUND(K61/K62*100,1) &amp; "}.")," ") &amp; IFERROR(IF(S65=ROUND(L61/L62*100,1)," "," Стр. 44, Гр. 15 [S65]  д.б. = [Окр(L61/L62*100,1)] {" &amp; ROUND(L61/L62*100,1) &amp; "}.")," ")</f>
        <v xml:space="preserve">           </v>
      </c>
    </row>
    <row r="66" spans="1:20" ht="45" customHeight="1" x14ac:dyDescent="0.25">
      <c r="A66" s="3" t="s">
        <v>60</v>
      </c>
      <c r="B66" s="1" t="s">
        <v>124</v>
      </c>
      <c r="C66" s="1" t="s">
        <v>1</v>
      </c>
      <c r="D66" s="1" t="s">
        <v>1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5" t="str">
        <f>IFERROR(IF(I66=ROUND(G62/G9*100,1)," "," Стр. 45, Гр. 5 [I66]  д.б. = [Окр(G62/G9*100,1)] {" &amp; ROUND(G62/G9*100,1) &amp; "}.")," ") &amp; IFERROR(IF(J66=ROUND(H62/H9*100,1)," "," Стр. 45, Гр. 6 [J66]  д.б. = [Окр(H62/H9*100,1)] {" &amp; ROUND(H62/H9*100,1) &amp; "}.")," ") &amp; IFERROR(IF(K66=ROUND(G66/E66,1)," "," Стр. 45, Гр. 7 [K66]  д.б. = [Окр(G66/E66,1)] {" &amp; ROUND(G66/E66,1) &amp; "}.")," ") &amp; IFERROR(IF(L66=ROUND(H66/F66,1)," "," Стр. 45, Гр. 8 [L66]  д.б. = [Окр(H66/F66,1)] {" &amp; ROUND(H66/F66,1) &amp; "}.")," ") &amp; IFERROR(IF(M66=ROUND(K66/L66*100,1)," "," Стр. 45, Гр. 9 [M66]  д.б. = [Окр(K66/L66*100,1)] {" &amp; ROUND(K66/L66*100,1) &amp; "}.")," ") &amp; IFERROR(IF(N66=ROUND(E66/F66*100,1)," "," Стр. 45, Гр. 10 [N66]  д.б. = [Окр(E66/F66*100,1)] {" &amp; ROUND(E66/F66*100,1) &amp; "}.")," ") &amp; IFERROR(IF(O66=ROUND(G66/H66*100,1)," "," Стр. 45, Гр. 11 [O66]  д.б. = [Окр(G66/H66*100,1)] {" &amp; ROUND(G66/H66*100,1) &amp; "}.")," ") &amp; IFERROR(IF(P66=ROUND(E62/E59*100,1)," "," Стр. 45, Гр. 12 [P66]  д.б. = [Окр(E62/E59*100,1)] {" &amp; ROUND(E62/E59*100,1) &amp; "}.")," ") &amp; IFERROR(IF(Q66=ROUND(F62/F59*100,1)," "," Стр. 45, Гр. 13 [Q66]  д.б. = [Окр(F62/F59*100,1)] {" &amp; ROUND(F62/F59*100,1) &amp; "}.")," ") &amp; IFERROR(IF(R66=ROUND(K62/K61*100,1)," "," Стр. 45, Гр. 14 [R66]  д.б. = [Окр(K62/K61*100,1)] {" &amp; ROUND(K62/K61*100,1) &amp; "}.")," ") &amp; IFERROR(IF(S66=ROUND(L62/L61*100,1)," "," Стр. 45, Гр. 15 [S66]  д.б. = [Окр(L62/L61*100,1)] {" &amp; ROUND(L62/L61*100,1) &amp; "}.")," ")</f>
        <v xml:space="preserve">           </v>
      </c>
    </row>
    <row r="67" spans="1:20" ht="45" customHeight="1" x14ac:dyDescent="0.25">
      <c r="A67" s="3" t="s">
        <v>125</v>
      </c>
      <c r="B67" s="1" t="s">
        <v>126</v>
      </c>
      <c r="C67" s="1" t="s">
        <v>127</v>
      </c>
      <c r="D67" s="1" t="s">
        <v>112</v>
      </c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5" t="str">
        <f>IFERROR(IF(E67=ROUND(SUM(E73:E74),1)," "," Стр. 46, Гр. 1 [E67]  д.б. = [Окр(Сум(E73:E74),1)] {" &amp; ROUND(SUM(E73:E74),1) &amp; "}.")," ") &amp; IFERROR(IF(F67=ROUND(SUM(F73:F74),1)," "," Стр. 46, Гр. 2 [F67]  д.б. = [Окр(Сум(F73:F74),1)] {" &amp; ROUND(SUM(F73:F74),1) &amp; "}.")," ") &amp; IFERROR(IF(G67=ROUND(SUM(G73:G74),1)," "," Стр. 46, Гр. 3 [G67]  д.б. = [Окр(Сум(G73:G74),1)] {" &amp; ROUND(SUM(G73:G74),1) &amp; "}.")," ") &amp; IFERROR(IF(H67=ROUND(SUM(H73:H74),1)," "," Стр. 46, Гр. 4 [H67]  д.б. = [Окр(Сум(H73:H74),1)] {" &amp; ROUND(SUM(H73:H74),1) &amp; "}.")," ") &amp; IFERROR(IF(I67=ROUND(G71/G6*100,1)," "," Стр. 46, Гр. 5 [I67]  д.б. = [Окр(G71/G6*100,1)] {" &amp; ROUND(G71/G6*100,1) &amp; "}.")," ") &amp; IFERROR(IF(J67=ROUND(H71/H6*100,1)," "," Стр. 46, Гр. 6 [J67]  д.б. = [Окр(H71/H6*100,1)] {" &amp; ROUND(H71/H6*100,1) &amp; "}.")," ") &amp; IFERROR(IF(K67=ROUND(G71/E71,1)," "," Стр. 46, Гр. 7 [K67]  д.б. = [Окр(G71/E71,1)] {" &amp; ROUND(G71/E71,1) &amp; "}.")," ") &amp; IFERROR(IF(L67=ROUND(H71/F71,1)," "," Стр. 46, Гр. 8 [L67]  д.б. = [Окр(H71/F71,1)] {" &amp; ROUND(H71/F71,1) &amp; "}.")," ") &amp; IFERROR(IF(M67=ROUND(K71/L71*100,1)," "," Стр. 46, Гр. 9 [M67]  д.б. = [Окр(K71/L71*100,1)] {" &amp; ROUND(K71/L71*100,1) &amp; "}.")," ") &amp; IFERROR(IF(N67=ROUND(E71/F71*100,1)," "," Стр. 46, Гр. 10 [N67]  д.б. = [Окр(E71/F71*100,1)] {" &amp; ROUND(E71/F71*100,1) &amp; "}.")," ") &amp; IFERROR(IF(O67=ROUND(G71/H71*100,1)," "," Стр. 46, Гр. 11 [O67]  д.б. = [Окр(G71/H71*100,1)] {" &amp; ROUND(G71/H71*100,1) &amp; "}.")," ") &amp; IFERROR(IF(P67=ROUND(SUM(P73:P74),1)," "," Стр. 46, Гр. 12 [P67]  д.б. = [Окр(Сум(P73:P74),1)] {" &amp; ROUND(SUM(P73:P74),1) &amp; "}.")," ") &amp; IFERROR(IF(Q67=ROUND(SUM(Q73:Q74),1)," "," Стр. 46, Гр. 13 [Q67]  д.б. = [Окр(Сум(Q73:Q74),1)] {" &amp; ROUND(SUM(Q73:Q74),1) &amp; "}.")," ")</f>
        <v xml:space="preserve">             </v>
      </c>
    </row>
    <row r="68" spans="1:20" ht="45" customHeight="1" x14ac:dyDescent="0.25">
      <c r="A68" s="3" t="s">
        <v>57</v>
      </c>
      <c r="B68" s="1"/>
      <c r="C68" s="1" t="s">
        <v>1</v>
      </c>
      <c r="D68" s="1" t="s">
        <v>1</v>
      </c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</row>
    <row r="69" spans="1:20" ht="45" customHeight="1" x14ac:dyDescent="0.25">
      <c r="A69" s="3" t="s">
        <v>58</v>
      </c>
      <c r="B69" s="1" t="s">
        <v>128</v>
      </c>
      <c r="C69" s="1" t="s">
        <v>1</v>
      </c>
      <c r="D69" s="1" t="s">
        <v>1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5" t="str">
        <f>IFERROR(IF(I69=ROUND(G73/G8*100,1)," "," Стр. 47, Гр. 5 [I69]  д.б. = [Окр(G73/G8*100,1)] {" &amp; ROUND(G73/G8*100,1) &amp; "}.")," ") &amp; IFERROR(IF(J69=ROUND(H73/H8*100,1)," "," Стр. 47, Гр. 6 [J69]  д.б. = [Окр(H73/H8*100,1)] {" &amp; ROUND(H73/H8*100,1) &amp; "}.")," ") &amp; IFERROR(IF(K69=ROUND(G73/E73,1)," "," Стр. 47, Гр. 7 [K69]  д.б. = [Окр(G73/E73,1)] {" &amp; ROUND(G73/E73,1) &amp; "}.")," ") &amp; IFERROR(IF(L69=ROUND(H73/F73,1)," "," Стр. 47, Гр. 8 [L69]  д.б. = [Окр(H73/F73,1)] {" &amp; ROUND(H73/F73,1) &amp; "}.")," ") &amp; IFERROR(IF(M69=ROUND(K73/L73*100,1)," "," Стр. 47, Гр. 9 [M69]  д.б. = [Окр(K73/L73*100,1)] {" &amp; ROUND(K73/L73*100,1) &amp; "}.")," ") &amp; IFERROR(IF(N69=ROUND(E73/F73*100,1)," "," Стр. 47, Гр. 10 [N69]  д.б. = [Окр(E73/F73*100,1)] {" &amp; ROUND(E73/F73*100,1) &amp; "}.")," ") &amp; IFERROR(IF(O69=ROUND(G73/H73*100,1)," "," Стр. 47, Гр. 11 [O69]  д.б. = [Окр(G73/H73*100,1)] {" &amp; ROUND(G73/H73*100,1) &amp; "}.")," ") &amp; IFERROR(IF(P69=ROUND(E73/E71*100,1)," "," Стр. 47, Гр. 12 [P69]  д.б. = [Окр(E73/E71*100,1)] {" &amp; ROUND(E73/E71*100,1) &amp; "}.")," ") &amp; IFERROR(IF(Q69=ROUND(F73/F71*100,1)," "," Стр. 47, Гр. 13 [Q69]  д.б. = [Окр(F73/F71*100,1)] {" &amp; ROUND(F73/F71*100,1) &amp; "}.")," ") &amp; IFERROR(IF(R69=ROUND(K73/K74*100,1)," "," Стр. 47, Гр. 14 [R69]  д.б. = [Окр(K73/K74*100,1)] {" &amp; ROUND(K73/K74*100,1) &amp; "}.")," ") &amp; IFERROR(IF(S69=ROUND(L73/L74*100,1)," "," Стр. 47, Гр. 15 [S69]  д.б. = [Окр(L73/L74*100,1)] {" &amp; ROUND(L73/L74*100,1) &amp; "}.")," ")</f>
        <v xml:space="preserve">           </v>
      </c>
    </row>
    <row r="70" spans="1:20" ht="45" customHeight="1" x14ac:dyDescent="0.25">
      <c r="A70" s="3" t="s">
        <v>60</v>
      </c>
      <c r="B70" s="1" t="s">
        <v>129</v>
      </c>
      <c r="C70" s="1" t="s">
        <v>1</v>
      </c>
      <c r="D70" s="1" t="s">
        <v>1</v>
      </c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5" t="str">
        <f>IFERROR(IF(I70=ROUND(G74/G9*100,1)," "," Стр. 48, Гр. 5 [I70]  д.б. = [Окр(G74/G9*100,1)] {" &amp; ROUND(G74/G9*100,1) &amp; "}.")," ") &amp; IFERROR(IF(J70=ROUND(H74/H9*100,1)," "," Стр. 48, Гр. 6 [J70]  д.б. = [Окр(H74/H9*100,1)] {" &amp; ROUND(H74/H9*100,1) &amp; "}.")," ") &amp; IFERROR(IF(K70=ROUND(G74/E74,1)," "," Стр. 48, Гр. 7 [K70]  д.б. = [Окр(G74/E74,1)] {" &amp; ROUND(G74/E74,1) &amp; "}.")," ") &amp; IFERROR(IF(L70=ROUND(H74/F74,1)," "," Стр. 48, Гр. 8 [L70]  д.б. = [Окр(H74/F74,1)] {" &amp; ROUND(H74/F74,1) &amp; "}.")," ") &amp; IFERROR(IF(M70=ROUND(K74/L74*100,1)," "," Стр. 48, Гр. 9 [M70]  д.б. = [Окр(K74/L74*100,1)] {" &amp; ROUND(K74/L74*100,1) &amp; "}.")," ") &amp; IFERROR(IF(N70=ROUND(E74/F74*100,1)," "," Стр. 48, Гр. 10 [N70]  д.б. = [Окр(E74/F74*100,1)] {" &amp; ROUND(E74/F74*100,1) &amp; "}.")," ") &amp; IFERROR(IF(O70=ROUND(G74/H74*100,1)," "," Стр. 48, Гр. 11 [O70]  д.б. = [Окр(G74/H74*100,1)] {" &amp; ROUND(G74/H74*100,1) &amp; "}.")," ") &amp; IFERROR(IF(P70=ROUND(E74/E71*100,1)," "," Стр. 48, Гр. 12 [P70]  д.б. = [Окр(E74/E71*100,1)] {" &amp; ROUND(E74/E71*100,1) &amp; "}.")," ") &amp; IFERROR(IF(Q70=ROUND(F74/F71*100,1)," "," Стр. 48, Гр. 13 [Q70]  д.б. = [Окр(F74/F71*100,1)] {" &amp; ROUND(F74/F71*100,1) &amp; "}.")," ") &amp; IFERROR(IF(R70=ROUND(K74/K73*100,1)," "," Стр. 48, Гр. 14 [R70]  д.б. = [Окр(K74/K73*100,1)] {" &amp; ROUND(K74/K73*100,1) &amp; "}.")," ") &amp; IFERROR(IF(S70=ROUND(L74/L73*100,1)," "," Стр. 48, Гр. 15 [S70]  д.б. = [Окр(L74/L73*100,1)] {" &amp; ROUND(L74/L73*100,1) &amp; "}.")," ")</f>
        <v xml:space="preserve">           </v>
      </c>
    </row>
    <row r="71" spans="1:20" ht="45" customHeight="1" x14ac:dyDescent="0.25">
      <c r="A71" s="3" t="s">
        <v>130</v>
      </c>
      <c r="B71" s="1" t="s">
        <v>131</v>
      </c>
      <c r="C71" s="1" t="s">
        <v>132</v>
      </c>
      <c r="D71" s="1" t="s">
        <v>112</v>
      </c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5" t="str">
        <f>IFERROR(IF(E71=ROUND(SUM(E77:E78),1)," "," Стр. 49, Гр. 1 [E71]  д.б. = [Окр(Сум(E77:E78),1)] {" &amp; ROUND(SUM(E77:E78),1) &amp; "}.")," ") &amp; IFERROR(IF(F71=ROUND(SUM(F77:F78),1)," "," Стр. 49, Гр. 2 [F71]  д.б. = [Окр(Сум(F77:F78),1)] {" &amp; ROUND(SUM(F77:F78),1) &amp; "}.")," ") &amp; IFERROR(IF(G71=ROUND(SUM(G77:G78),1)," "," Стр. 49, Гр. 3 [G71]  д.б. = [Окр(Сум(G77:G78),1)] {" &amp; ROUND(SUM(G77:G78),1) &amp; "}.")," ") &amp; IFERROR(IF(H71=ROUND(SUM(H77:H78),1)," "," Стр. 49, Гр. 4 [H71]  д.б. = [Окр(Сум(H77:H78),1)] {" &amp; ROUND(SUM(H77:H78),1) &amp; "}.")," ") &amp; IFERROR(IF(I71=ROUND(G75/G6*100,1)," "," Стр. 49, Гр. 5 [I71]  д.б. = [Окр(G75/G6*100,1)] {" &amp; ROUND(G75/G6*100,1) &amp; "}.")," ") &amp; IFERROR(IF(J71=ROUND(H75/H6*100,1)," "," Стр. 49, Гр. 6 [J71]  д.б. = [Окр(H75/H6*100,1)] {" &amp; ROUND(H75/H6*100,1) &amp; "}.")," ") &amp; IFERROR(IF(K71=ROUND(G75/E75,1)," "," Стр. 49, Гр. 7 [K71]  д.б. = [Окр(G75/E75,1)] {" &amp; ROUND(G75/E75,1) &amp; "}.")," ") &amp; IFERROR(IF(L71=ROUND(H75/F75,1)," "," Стр. 49, Гр. 8 [L71]  д.б. = [Окр(H75/F75,1)] {" &amp; ROUND(H75/F75,1) &amp; "}.")," ") &amp; IFERROR(IF(M71=ROUND(K75/L75*100,1)," "," Стр. 49, Гр. 9 [M71]  д.б. = [Окр(K75/L75*100,1)] {" &amp; ROUND(K75/L75*100,1) &amp; "}.")," ") &amp; IFERROR(IF(N71=ROUND(E75/F75*100,1)," "," Стр. 49, Гр. 10 [N71]  д.б. = [Окр(E75/F75*100,1)] {" &amp; ROUND(E75/F75*100,1) &amp; "}.")," ") &amp; IFERROR(IF(O71=ROUND(G75/H75*100,1)," "," Стр. 49, Гр. 11 [O71]  д.б. = [Окр(G75/H75*100,1)] {" &amp; ROUND(G75/H75*100,1) &amp; "}.")," ") &amp; IFERROR(IF(P71=ROUND(SUM(P77:P78),1)," "," Стр. 49, Гр. 12 [P71]  д.б. = [Окр(Сум(P77:P78),1)] {" &amp; ROUND(SUM(P77:P78),1) &amp; "}.")," ") &amp; IFERROR(IF(Q71=ROUND(SUM(Q77:Q78),1)," "," Стр. 49, Гр. 13 [Q71]  д.б. = [Окр(Сум(Q77:Q78),1)] {" &amp; ROUND(SUM(Q77:Q78),1) &amp; "}.")," ")</f>
        <v xml:space="preserve">             </v>
      </c>
    </row>
    <row r="72" spans="1:20" ht="45" customHeight="1" x14ac:dyDescent="0.25">
      <c r="A72" s="3" t="s">
        <v>57</v>
      </c>
      <c r="B72" s="1"/>
      <c r="C72" s="1" t="s">
        <v>1</v>
      </c>
      <c r="D72" s="1" t="s">
        <v>1</v>
      </c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</row>
    <row r="73" spans="1:20" ht="45" customHeight="1" x14ac:dyDescent="0.25">
      <c r="A73" s="3" t="s">
        <v>58</v>
      </c>
      <c r="B73" s="1" t="s">
        <v>133</v>
      </c>
      <c r="C73" s="1" t="s">
        <v>1</v>
      </c>
      <c r="D73" s="1" t="s">
        <v>1</v>
      </c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5" t="str">
        <f>IFERROR(IF(I73=ROUND(G77/G8*100,1)," "," Стр. 50, Гр. 5 [I73]  д.б. = [Окр(G77/G8*100,1)] {" &amp; ROUND(G77/G8*100,1) &amp; "}.")," ") &amp; IFERROR(IF(J73=ROUND(H77/H8*100,1)," "," Стр. 50, Гр. 6 [J73]  д.б. = [Окр(H77/H8*100,1)] {" &amp; ROUND(H77/H8*100,1) &amp; "}.")," ") &amp; IFERROR(IF(K73=ROUND(G77/E77,1)," "," Стр. 50, Гр. 7 [K73]  д.б. = [Окр(G77/E77,1)] {" &amp; ROUND(G77/E77,1) &amp; "}.")," ") &amp; IFERROR(IF(L73=ROUND(H77/F77,1)," "," Стр. 50, Гр. 8 [L73]  д.б. = [Окр(H77/F77,1)] {" &amp; ROUND(H77/F77,1) &amp; "}.")," ") &amp; IFERROR(IF(M73=ROUND(K77/L77*100,1)," "," Стр. 50, Гр. 9 [M73]  д.б. = [Окр(K77/L77*100,1)] {" &amp; ROUND(K77/L77*100,1) &amp; "}.")," ") &amp; IFERROR(IF(N73=ROUND(E77/F77*100,1)," "," Стр. 50, Гр. 10 [N73]  д.б. = [Окр(E77/F77*100,1)] {" &amp; ROUND(E77/F77*100,1) &amp; "}.")," ") &amp; IFERROR(IF(O73=ROUND(G77/H77*100,1)," "," Стр. 50, Гр. 11 [O73]  д.б. = [Окр(G77/H77*100,1)] {" &amp; ROUND(G77/H77*100,1) &amp; "}.")," ") &amp; IFERROR(IF(P73=ROUND(E77/E75*100,1)," "," Стр. 50, Гр. 12 [P73]  д.б. = [Окр(E77/E75*100,1)] {" &amp; ROUND(E77/E75*100,1) &amp; "}.")," ") &amp; IFERROR(IF(Q73=ROUND(F77/F75*100,1)," "," Стр. 50, Гр. 13 [Q73]  д.б. = [Окр(F77/F75*100,1)] {" &amp; ROUND(F77/F75*100,1) &amp; "}.")," ") &amp; IFERROR(IF(R73=ROUND(K77/K78*100,1)," "," Стр. 50, Гр. 14 [R73]  д.б. = [Окр(K77/K78*100,1)] {" &amp; ROUND(K77/K78*100,1) &amp; "}.")," ") &amp; IFERROR(IF(S73=ROUND(L77/L78*100,1)," "," Стр. 50, Гр. 15 [S73]  д.б. = [Окр(L77/L78*100,1)] {" &amp; ROUND(L77/L78*100,1) &amp; "}.")," ")</f>
        <v xml:space="preserve">           </v>
      </c>
    </row>
    <row r="74" spans="1:20" ht="45" customHeight="1" x14ac:dyDescent="0.25">
      <c r="A74" s="3" t="s">
        <v>60</v>
      </c>
      <c r="B74" s="1" t="s">
        <v>134</v>
      </c>
      <c r="C74" s="1" t="s">
        <v>1</v>
      </c>
      <c r="D74" s="1" t="s">
        <v>1</v>
      </c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5" t="str">
        <f>IFERROR(IF(I74=ROUND(G78/G9*100,1)," "," Стр. 51, Гр. 5 [I74]  д.б. = [Окр(G78/G9*100,1)] {" &amp; ROUND(G78/G9*100,1) &amp; "}.")," ") &amp; IFERROR(IF(J74=ROUND(H78/H9*100,1)," "," Стр. 51, Гр. 6 [J74]  д.б. = [Окр(H78/H9*100,1)] {" &amp; ROUND(H78/H9*100,1) &amp; "}.")," ") &amp; IFERROR(IF(K74=ROUND(G78/E78*100,1)," "," Стр. 51, Гр. 7 [K74]  д.б. = [Окр(G78/E78*100,1)] {" &amp; ROUND(G78/E78*100,1) &amp; "}.")," ") &amp; IFERROR(IF(L74=ROUND(H78/F78*100,1)," "," Стр. 51, Гр. 8 [L74]  д.б. = [Окр(H78/F78*100,1)] {" &amp; ROUND(H78/F78*100,1) &amp; "}.")," ") &amp; IFERROR(IF(M74=ROUND(K78/L78*100,1)," "," Стр. 51, Гр. 9 [M74]  д.б. = [Окр(K78/L78*100,1)] {" &amp; ROUND(K78/L78*100,1) &amp; "}.")," ") &amp; IFERROR(IF(N74=ROUND(E78/F78*100,1)," "," Стр. 51, Гр. 10 [N74]  д.б. = [Окр(E78/F78*100,1)] {" &amp; ROUND(E78/F78*100,1) &amp; "}.")," ") &amp; IFERROR(IF(O74=ROUND(G78/H78*100,1)," "," Стр. 51, Гр. 11 [O74]  д.б. = [Окр(G78/H78*100,1)] {" &amp; ROUND(G78/H78*100,1) &amp; "}.")," ") &amp; IFERROR(IF(P74=ROUND(E78/E75*100,1)," "," Стр. 51, Гр. 12 [P74]  д.б. = [Окр(E78/E75*100,1)] {" &amp; ROUND(E78/E75*100,1) &amp; "}.")," ") &amp; IFERROR(IF(Q74=ROUND(F78/F75*100,1)," "," Стр. 51, Гр. 13 [Q74]  д.б. = [Окр(F78/F75*100,1)] {" &amp; ROUND(F78/F75*100,1) &amp; "}.")," ") &amp; IFERROR(IF(R74=ROUND(K78/K77*100,1)," "," Стр. 51, Гр. 14 [R74]  д.б. = [Окр(K78/K77*100,1)] {" &amp; ROUND(K78/K77*100,1) &amp; "}.")," ") &amp; IFERROR(IF(S74=ROUND(L78/L77*100,1)," "," Стр. 51, Гр. 15 [S74]  д.б. = [Окр(L78/L77*100,1)] {" &amp; ROUND(L78/L77*100,1) &amp; "}.")," ")</f>
        <v xml:space="preserve">           </v>
      </c>
    </row>
    <row r="75" spans="1:20" ht="45" customHeight="1" x14ac:dyDescent="0.25">
      <c r="A75" s="3" t="s">
        <v>135</v>
      </c>
      <c r="B75" s="1" t="s">
        <v>136</v>
      </c>
      <c r="C75" s="1" t="s">
        <v>137</v>
      </c>
      <c r="D75" s="1" t="s">
        <v>112</v>
      </c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5" t="str">
        <f>IFERROR(IF(E75=ROUND(SUM(E81:E82),1)," "," Стр. 52, Гр. 1 [E75]  д.б. = [Окр(Сум(E81:E82),1)] {" &amp; ROUND(SUM(E81:E82),1) &amp; "}.")," ") &amp; IFERROR(IF(F75=ROUND(SUM(F81:F82),1)," "," Стр. 52, Гр. 2 [F75]  д.б. = [Окр(Сум(F81:F82),1)] {" &amp; ROUND(SUM(F81:F82),1) &amp; "}.")," ") &amp; IFERROR(IF(G75=ROUND(SUM(G81:G82),1)," "," Стр. 52, Гр. 3 [G75]  д.б. = [Окр(Сум(G81:G82),1)] {" &amp; ROUND(SUM(G81:G82),1) &amp; "}.")," ") &amp; IFERROR(IF(H75=ROUND(SUM(H81:H82),1)," "," Стр. 52, Гр. 4 [H75]  д.б. = [Окр(Сум(H81:H82),1)] {" &amp; ROUND(SUM(H81:H82),1) &amp; "}.")," ") &amp; IFERROR(IF(I75=ROUND(G79/G6*100,1)," "," Стр. 52, Гр. 5 [I75]  д.б. = [Окр(G79/G6*100,1)] {" &amp; ROUND(G79/G6*100,1) &amp; "}.")," ") &amp; IFERROR(IF(J75=ROUND(H79/H6*100,1)," "," Стр. 52, Гр. 6 [J75]  д.б. = [Окр(H79/H6*100,1)] {" &amp; ROUND(H79/H6*100,1) &amp; "}.")," ") &amp; IFERROR(IF(K75=ROUND(G79/E79,1)," "," Стр. 52, Гр. 7 [K75]  д.б. = [Окр(G79/E79,1)] {" &amp; ROUND(G79/E79,1) &amp; "}.")," ") &amp; IFERROR(IF(L75=ROUND(H79/F79,1)," "," Стр. 52, Гр. 8 [L75]  д.б. = [Окр(H79/F79,1)] {" &amp; ROUND(H79/F79,1) &amp; "}.")," ") &amp; IFERROR(IF(M75=ROUND(K79/L79*100,1)," "," Стр. 52, Гр. 9 [M75]  д.б. = [Окр(K79/L79*100,1)] {" &amp; ROUND(K79/L79*100,1) &amp; "}.")," ") &amp; IFERROR(IF(N75=ROUND(E79/F79*100,1)," "," Стр. 52, Гр. 10 [N75]  д.б. = [Окр(E79/F79*100,1)] {" &amp; ROUND(E79/F79*100,1) &amp; "}.")," ") &amp; IFERROR(IF(O75=ROUND(G79/H79*100,1)," "," Стр. 52, Гр. 11 [O75]  д.б. = [Окр(G79/H79*100,1)] {" &amp; ROUND(G79/H79*100,1) &amp; "}.")," ") &amp; IFERROR(IF(P75=ROUND(SUM(P81:P82),1)," "," Стр. 52, Гр. 12 [P75]  д.б. = [Окр(Сум(P81:P82),1)] {" &amp; ROUND(SUM(P81:P82),1) &amp; "}.")," ") &amp; IFERROR(IF(Q75=ROUND(SUM(Q81:Q82),1)," "," Стр. 52, Гр. 13 [Q75]  д.б. = [Окр(Сум(Q81:Q82),1)] {" &amp; ROUND(SUM(Q81:Q82),1) &amp; "}.")," ")</f>
        <v xml:space="preserve">             </v>
      </c>
    </row>
    <row r="76" spans="1:20" ht="45" customHeight="1" x14ac:dyDescent="0.25">
      <c r="A76" s="3" t="s">
        <v>138</v>
      </c>
      <c r="B76" s="1"/>
      <c r="C76" s="1" t="s">
        <v>1</v>
      </c>
      <c r="D76" s="1" t="s">
        <v>1</v>
      </c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</row>
    <row r="77" spans="1:20" ht="45" customHeight="1" x14ac:dyDescent="0.25">
      <c r="A77" s="3" t="s">
        <v>139</v>
      </c>
      <c r="B77" s="1" t="s">
        <v>140</v>
      </c>
      <c r="C77" s="1" t="s">
        <v>1</v>
      </c>
      <c r="D77" s="1" t="s">
        <v>1</v>
      </c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5" t="str">
        <f>IFERROR(IF(I77=ROUND(G81/G8*100,1)," "," Стр. 53, Гр. 5 [I77]  д.б. = [Окр(G81/G8*100,1)] {" &amp; ROUND(G81/G8*100,1) &amp; "}.")," ") &amp; IFERROR(IF(J77=ROUND(H81/H8*100,1)," "," Стр. 53, Гр. 6 [J77]  д.б. = [Окр(H81/H8*100,1)] {" &amp; ROUND(H81/H8*100,1) &amp; "}.")," ") &amp; IFERROR(IF(K77=ROUND(G81/E81,1)," "," Стр. 53, Гр. 7 [K77]  д.б. = [Окр(G81/E81,1)] {" &amp; ROUND(G81/E81,1) &amp; "}.")," ") &amp; IFERROR(IF(L77=ROUND(H81/F81,1)," "," Стр. 53, Гр. 8 [L77]  д.б. = [Окр(H81/F81,1)] {" &amp; ROUND(H81/F81,1) &amp; "}.")," ") &amp; IFERROR(IF(M77=ROUND(K81/L81*100,1)," "," Стр. 53, Гр. 9 [M77]  д.б. = [Окр(K81/L81*100,1)] {" &amp; ROUND(K81/L81*100,1) &amp; "}.")," ") &amp; IFERROR(IF(N77=ROUND(E81/F81*100,1)," "," Стр. 53, Гр. 10 [N77]  д.б. = [Окр(E81/F81*100,1)] {" &amp; ROUND(E81/F81*100,1) &amp; "}.")," ") &amp; IFERROR(IF(O77=ROUND(G81/H81*100,1)," "," Стр. 53, Гр. 11 [O77]  д.б. = [Окр(G81/H81*100,1)] {" &amp; ROUND(G81/H81*100,1) &amp; "}.")," ") &amp; IFERROR(IF(P77=ROUND(E81/E79*100,1)," "," Стр. 53, Гр. 12 [P77]  д.б. = [Окр(E81/E79*100,1)] {" &amp; ROUND(E81/E79*100,1) &amp; "}.")," ") &amp; IFERROR(IF(Q77=ROUND(F81/F79*100,1)," "," Стр. 53, Гр. 13 [Q77]  д.б. = [Окр(F81/F79*100,1)] {" &amp; ROUND(F81/F79*100,1) &amp; "}.")," ") &amp; IFERROR(IF(R77=ROUND(K81/K82*100,1)," "," Стр. 53, Гр. 14 [R77]  д.б. = [Окр(K81/K82*100,1)] {" &amp; ROUND(K81/K82*100,1) &amp; "}.")," ") &amp; IFERROR(IF(S77=ROUND(L81/L82*100,1)," "," Стр. 53, Гр. 15 [S77]  д.б. = [Окр(L81/L82*100,1)] {" &amp; ROUND(L81/L82*100,1) &amp; "}.")," ")</f>
        <v xml:space="preserve">           </v>
      </c>
    </row>
    <row r="78" spans="1:20" ht="45" customHeight="1" x14ac:dyDescent="0.25">
      <c r="A78" s="3" t="s">
        <v>141</v>
      </c>
      <c r="B78" s="1" t="s">
        <v>142</v>
      </c>
      <c r="C78" s="1" t="s">
        <v>1</v>
      </c>
      <c r="D78" s="1" t="s">
        <v>1</v>
      </c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5" t="str">
        <f>IFERROR(IF(I78=ROUND(G82/G9*100,1)," "," Стр. 54, Гр. 5 [I78]  д.б. = [Окр(G82/G9*100,1)] {" &amp; ROUND(G82/G9*100,1) &amp; "}.")," ") &amp; IFERROR(IF(J78=ROUND(H82/H9*100,1)," "," Стр. 54, Гр. 6 [J78]  д.б. = [Окр(H82/H9*100,1)] {" &amp; ROUND(H82/H9*100,1) &amp; "}.")," ") &amp; IFERROR(IF(K78=ROUND(G82/E82,1)," "," Стр. 54, Гр. 7 [K78]  д.б. = [Окр(G82/E82,1)] {" &amp; ROUND(G82/E82,1) &amp; "}.")," ") &amp; IFERROR(IF(L78=ROUND(H82/F82,1)," "," Стр. 54, Гр. 8 [L78]  д.б. = [Окр(H82/F82,1)] {" &amp; ROUND(H82/F82,1) &amp; "}.")," ") &amp; IFERROR(IF(M78=ROUND(K82/L82*100,1)," "," Стр. 54, Гр. 9 [M78]  д.б. = [Окр(K82/L82*100,1)] {" &amp; ROUND(K82/L82*100,1) &amp; "}.")," ") &amp; IFERROR(IF(N78=ROUND(E82/F82*100,1)," "," Стр. 54, Гр. 10 [N78]  д.б. = [Окр(E82/F82*100,1)] {" &amp; ROUND(E82/F82*100,1) &amp; "}.")," ") &amp; IFERROR(IF(O78=ROUND(G82/H82*100,1)," "," Стр. 54, Гр. 11 [O78]  д.б. = [Окр(G82/H82*100,1)] {" &amp; ROUND(G82/H82*100,1) &amp; "}.")," ") &amp; IFERROR(IF(P78=ROUND(E82/E79*100,1)," "," Стр. 54, Гр. 12 [P78]  д.б. = [Окр(E82/E79*100,1)] {" &amp; ROUND(E82/E79*100,1) &amp; "}.")," ") &amp; IFERROR(IF(Q78=ROUND(F82/F79*100,1)," "," Стр. 54, Гр. 13 [Q78]  д.б. = [Окр(F82/F79*100,1)] {" &amp; ROUND(F82/F79*100,1) &amp; "}.")," ") &amp; IFERROR(IF(R78=ROUND(K82/K81*100,1)," "," Стр. 54, Гр. 14 [R78]  д.б. = [Окр(K82/K81*100,1)] {" &amp; ROUND(K82/K81*100,1) &amp; "}.")," ") &amp; IFERROR(IF(S78=ROUND(L82/L81*100,1)," "," Стр. 54, Гр. 15 [S78]  д.б. = [Окр(L82/L81*100,1)] {" &amp; ROUND(L82/L81*100,1) &amp; "}.")," ")</f>
        <v xml:space="preserve">           </v>
      </c>
    </row>
    <row r="79" spans="1:20" ht="45" customHeight="1" x14ac:dyDescent="0.25">
      <c r="A79" s="3" t="s">
        <v>143</v>
      </c>
      <c r="B79" s="1" t="s">
        <v>144</v>
      </c>
      <c r="C79" s="1" t="s">
        <v>145</v>
      </c>
      <c r="D79" s="1" t="s">
        <v>112</v>
      </c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5" t="str">
        <f>IFERROR(IF(E79=ROUND(SUM(E85:E86),1)," "," Стр. 55, Гр. 1 [E79]  д.б. = [Окр(Сум(E85:E86),1)] {" &amp; ROUND(SUM(E85:E86),1) &amp; "}.")," ") &amp; IFERROR(IF(F79=ROUND(SUM(F85:F86),1)," "," Стр. 55, Гр. 2 [F79]  д.б. = [Окр(Сум(F85:F86),1)] {" &amp; ROUND(SUM(F85:F86),1) &amp; "}.")," ") &amp; IFERROR(IF(G79=ROUND(SUM(G85:G86),1)," "," Стр. 55, Гр. 3 [G79]  д.б. = [Окр(Сум(G85:G86),1)] {" &amp; ROUND(SUM(G85:G86),1) &amp; "}.")," ") &amp; IFERROR(IF(H79=ROUND(SUM(H85:H86),1)," "," Стр. 55, Гр. 4 [H79]  д.б. = [Окр(Сум(H85:H86),1)] {" &amp; ROUND(SUM(H85:H86),1) &amp; "}.")," ") &amp; IFERROR(IF(I79=ROUND(G85/G6*100,1)," "," Стр. 55, Гр. 5 [I79]  д.б. = [Окр(G85/G6*100,1)] {" &amp; ROUND(G85/G6*100,1) &amp; "}.")," ") &amp; IFERROR(IF(J79=ROUND(H85/H6*100,1)," "," Стр. 55, Гр. 6 [J79]  д.б. = [Окр(H85/H6*100,1)] {" &amp; ROUND(H85/H6*100,1) &amp; "}.")," ") &amp; IFERROR(IF(K79=ROUND(G83/E83,1)," "," Стр. 55, Гр. 7 [K79]  д.б. = [Окр(G83/E83,1)] {" &amp; ROUND(G83/E83,1) &amp; "}.")," ") &amp; IFERROR(IF(L79=ROUND(H83/F83,1)," "," Стр. 55, Гр. 8 [L79]  д.б. = [Окр(H83/F83,1)] {" &amp; ROUND(H83/F83,1) &amp; "}.")," ") &amp; IFERROR(IF(M79=ROUND(K83/L83*100,1)," "," Стр. 55, Гр. 9 [M79]  д.б. = [Окр(K83/L83*100,1)] {" &amp; ROUND(K83/L83*100,1) &amp; "}.")," ") &amp; IFERROR(IF(N79=ROUND(E83/F83*100,1)," "," Стр. 55, Гр. 10 [N79]  д.б. = [Окр(E83/F83*100,1)] {" &amp; ROUND(E83/F83*100,1) &amp; "}.")," ") &amp; IFERROR(IF(O79=ROUND(G83/H83*100,1)," "," Стр. 55, Гр. 11 [O79]  д.б. = [Окр(G83/H83*100,1)] {" &amp; ROUND(G83/H83*100,1) &amp; "}.")," ") &amp; IFERROR(IF(P79=ROUND(SUM(P85:P86),1)," "," Стр. 55, Гр. 12 [P79]  д.б. = [Окр(Сум(P85:P86),1)] {" &amp; ROUND(SUM(P85:P86),1) &amp; "}.")," ") &amp; IFERROR(IF(Q79=ROUND(SUM(Q85:Q86),1)," "," Стр. 55, Гр. 13 [Q79]  д.б. = [Окр(Сум(Q85:Q86),1)] {" &amp; ROUND(SUM(Q85:Q86),1) &amp; "}.")," ")</f>
        <v xml:space="preserve">             </v>
      </c>
    </row>
    <row r="80" spans="1:20" ht="45" customHeight="1" x14ac:dyDescent="0.25">
      <c r="A80" s="3" t="s">
        <v>138</v>
      </c>
      <c r="B80" s="1"/>
      <c r="C80" s="1" t="s">
        <v>1</v>
      </c>
      <c r="D80" s="1" t="s">
        <v>1</v>
      </c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</row>
    <row r="81" spans="1:20" ht="45" customHeight="1" x14ac:dyDescent="0.25">
      <c r="A81" s="3" t="s">
        <v>139</v>
      </c>
      <c r="B81" s="1" t="s">
        <v>146</v>
      </c>
      <c r="C81" s="1" t="s">
        <v>1</v>
      </c>
      <c r="D81" s="1" t="s">
        <v>1</v>
      </c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5" t="str">
        <f>IFERROR(IF(I81=ROUND(G85/G8*100,1)," "," Стр. 56, Гр. 5 [I81]  д.б. = [Окр(G85/G8*100,1)] {" &amp; ROUND(G85/G8*100,1) &amp; "}.")," ") &amp; IFERROR(IF(J81=ROUND(H85/H8*100,1)," "," Стр. 56, Гр. 6 [J81]  д.б. = [Окр(H85/H8*100,1)] {" &amp; ROUND(H85/H8*100,1) &amp; "}.")," ") &amp; IFERROR(IF(K81=ROUND(G85/E85*100,1)," "," Стр. 56, Гр. 7 [K81]  д.б. = [Окр(G85/E85*100,1)] {" &amp; ROUND(G85/E85*100,1) &amp; "}.")," ") &amp; IFERROR(IF(L81=ROUND(H85/F85*100,1)," "," Стр. 56, Гр. 8 [L81]  д.б. = [Окр(H85/F85*100,1)] {" &amp; ROUND(H85/F85*100,1) &amp; "}.")," ") &amp; IFERROR(IF(M81=ROUND(K85/L85*100,1)," "," Стр. 56, Гр. 9 [M81]  д.б. = [Окр(K85/L85*100,1)] {" &amp; ROUND(K85/L85*100,1) &amp; "}.")," ") &amp; IFERROR(IF(N81=ROUND(E85/F85*100,1)," "," Стр. 56, Гр. 10 [N81]  д.б. = [Окр(E85/F85*100,1)] {" &amp; ROUND(E85/F85*100,1) &amp; "}.")," ") &amp; IFERROR(IF(O81=ROUND(G85/H85*100,1)," "," Стр. 56, Гр. 11 [O81]  д.б. = [Окр(G85/H85*100,1)] {" &amp; ROUND(G85/H85*100,1) &amp; "}.")," ") &amp; IFERROR(IF(P81=ROUND(E85/E83*100,1)," "," Стр. 56, Гр. 12 [P81]  д.б. = [Окр(E85/E83*100,1)] {" &amp; ROUND(E85/E83*100,1) &amp; "}.")," ") &amp; IFERROR(IF(Q81=ROUND(F85/F83*100,1)," "," Стр. 56, Гр. 13 [Q81]  д.б. = [Окр(F85/F83*100,1)] {" &amp; ROUND(F85/F83*100,1) &amp; "}.")," ") &amp; IFERROR(IF(R81=ROUND(K85/K86*100,1)," "," Стр. 56, Гр. 14 [R81]  д.б. = [Окр(K85/K86*100,1)] {" &amp; ROUND(K85/K86*100,1) &amp; "}.")," ") &amp; IFERROR(IF(S81=ROUND(L85/L86*100,1)," "," Стр. 56, Гр. 15 [S81]  д.б. = [Окр(L85/L86*100,1)] {" &amp; ROUND(L85/L86*100,1) &amp; "}.")," ")</f>
        <v xml:space="preserve">           </v>
      </c>
    </row>
    <row r="82" spans="1:20" ht="45" customHeight="1" x14ac:dyDescent="0.25">
      <c r="A82" s="3" t="s">
        <v>141</v>
      </c>
      <c r="B82" s="1" t="s">
        <v>147</v>
      </c>
      <c r="C82" s="1" t="s">
        <v>1</v>
      </c>
      <c r="D82" s="1" t="s">
        <v>1</v>
      </c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5" t="str">
        <f>IFERROR(IF(I82=ROUND(G86/G9*100,1)," "," Стр. 57, Гр. 5 [I82]  д.б. = [Окр(G86/G9*100,1)] {" &amp; ROUND(G86/G9*100,1) &amp; "}.")," ") &amp; IFERROR(IF(J82=ROUND(H86/H9*100,1)," "," Стр. 57, Гр. 6 [J82]  д.б. = [Окр(H86/H9*100,1)] {" &amp; ROUND(H86/H9*100,1) &amp; "}.")," ") &amp; IFERROR(IF(K82=ROUND(G86/E86,1)," "," Стр. 57, Гр. 7 [K82]  д.б. = [Окр(G86/E86,1)] {" &amp; ROUND(G86/E86,1) &amp; "}.")," ") &amp; IFERROR(IF(L82=ROUND(H86/F86,1)," "," Стр. 57, Гр. 8 [L82]  д.б. = [Окр(H86/F86,1)] {" &amp; ROUND(H86/F86,1) &amp; "}.")," ") &amp; IFERROR(IF(M82=ROUND(K86/L86*100,1)," "," Стр. 57, Гр. 9 [M82]  д.б. = [Окр(K86/L86*100,1)] {" &amp; ROUND(K86/L86*100,1) &amp; "}.")," ") &amp; IFERROR(IF(N82=ROUND(E86/F86*100,1)," "," Стр. 57, Гр. 10 [N82]  д.б. = [Окр(E86/F86*100,1)] {" &amp; ROUND(E86/F86*100,1) &amp; "}.")," ") &amp; IFERROR(IF(O82=ROUND(G86/H86*100,1)," "," Стр. 57, Гр. 11 [O82]  д.б. = [Окр(G86/H86*100,1)] {" &amp; ROUND(G86/H86*100,1) &amp; "}.")," ") &amp; IFERROR(IF(P82=ROUND(E86/E83*100,1)," "," Стр. 57, Гр. 12 [P82]  д.б. = [Окр(E86/E83*100,1)] {" &amp; ROUND(E86/E83*100,1) &amp; "}.")," ") &amp; IFERROR(IF(Q82=ROUND(F86/F83*100,1)," "," Стр. 57, Гр. 13 [Q82]  д.б. = [Окр(F86/F83*100,1)] {" &amp; ROUND(F86/F83*100,1) &amp; "}.")," ") &amp; IFERROR(IF(R82=ROUND(K86/K85*100,1)," "," Стр. 57, Гр. 14 [R82]  д.б. = [Окр(K86/K85*100,1)] {" &amp; ROUND(K86/K85*100,1) &amp; "}.")," ") &amp; IFERROR(IF(S82=ROUND(L86/L85*100,1)," "," Стр. 57, Гр. 15 [S82]  д.б. = [Окр(L86/L85*100,1)] {" &amp; ROUND(L86/L85*100,1) &amp; "}.")," ")</f>
        <v xml:space="preserve">           </v>
      </c>
    </row>
    <row r="83" spans="1:20" ht="45" customHeight="1" x14ac:dyDescent="0.25">
      <c r="A83" s="3" t="s">
        <v>148</v>
      </c>
      <c r="B83" s="1" t="s">
        <v>149</v>
      </c>
      <c r="C83" s="1" t="s">
        <v>150</v>
      </c>
      <c r="D83" s="1" t="s">
        <v>112</v>
      </c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5" t="str">
        <f>IFERROR(IF(E83=ROUND(SUM(E89:E90),1)," "," Стр. 58, Гр. 1 [E83]  д.б. = [Окр(Сум(E89:E90),1)] {" &amp; ROUND(SUM(E89:E90),1) &amp; "}.")," ") &amp; IFERROR(IF(F83=ROUND(SUM(F89:F90),1)," "," Стр. 58, Гр. 2 [F83]  д.б. = [Окр(Сум(F89:F90),1)] {" &amp; ROUND(SUM(F89:F90),1) &amp; "}.")," ") &amp; IFERROR(IF(G83=ROUND(SUM(G89:G90),1)," "," Стр. 58, Гр. 3 [G83]  д.б. = [Окр(Сум(G89:G90),1)] {" &amp; ROUND(SUM(G89:G90),1) &amp; "}.")," ") &amp; IFERROR(IF(H83=ROUND(SUM(H89:H90),1)," "," Стр. 58, Гр. 4 [H83]  д.б. = [Окр(Сум(H89:H90),1)] {" &amp; ROUND(SUM(H89:H90),1) &amp; "}.")," ") &amp; IFERROR(IF(I83=ROUND(G87/G6*100,1)," "," Стр. 58, Гр. 5 [I83]  д.б. = [Окр(G87/G6*100,1)] {" &amp; ROUND(G87/G6*100,1) &amp; "}.")," ") &amp; IFERROR(IF(J83=ROUND(H87/H6*100,1)," "," Стр. 58, Гр. 6 [J83]  д.б. = [Окр(H87/H6*100,1)] {" &amp; ROUND(H87/H6*100,1) &amp; "}.")," ") &amp; IFERROR(IF(K83=ROUND(G87/E87,1)," "," Стр. 58, Гр. 7 [K83]  д.б. = [Окр(G87/E87,1)] {" &amp; ROUND(G87/E87,1) &amp; "}.")," ") &amp; IFERROR(IF(L83=ROUND(H87/F87,1)," "," Стр. 58, Гр. 8 [L83]  д.б. = [Окр(H87/F87,1)] {" &amp; ROUND(H87/F87,1) &amp; "}.")," ") &amp; IFERROR(IF(M83=ROUND(K87/L87*100,1)," "," Стр. 58, Гр. 9 [M83]  д.б. = [Окр(K87/L87*100,1)] {" &amp; ROUND(K87/L87*100,1) &amp; "}.")," ") &amp; IFERROR(IF(N83=ROUND(E87/F87*100,1)," "," Стр. 58, Гр. 10 [N83]  д.б. = [Окр(E87/F87*100,1)] {" &amp; ROUND(E87/F87*100,1) &amp; "}.")," ") &amp; IFERROR(IF(O83=ROUND(G87/H87*100,1)," "," Стр. 58, Гр. 11 [O83]  д.б. = [Окр(G87/H87*100,1)] {" &amp; ROUND(G87/H87*100,1) &amp; "}.")," ") &amp; IFERROR(IF(P83=ROUND(SUM(P89:P90),1)," "," Стр. 58, Гр. 12 [P83]  д.б. = [Окр(Сум(P89:P90),1)] {" &amp; ROUND(SUM(P89:P90),1) &amp; "}.")," ") &amp; IFERROR(IF(Q83=ROUND(SUM(Q89:Q90),1)," "," Стр. 58, Гр. 13 [Q83]  д.б. = [Окр(Сум(Q89:Q90),1)] {" &amp; ROUND(SUM(Q89:Q90),1) &amp; "}.")," ")</f>
        <v xml:space="preserve">             </v>
      </c>
    </row>
    <row r="84" spans="1:20" ht="45" customHeight="1" x14ac:dyDescent="0.25">
      <c r="A84" s="3" t="s">
        <v>138</v>
      </c>
      <c r="B84" s="1"/>
      <c r="C84" s="1" t="s">
        <v>1</v>
      </c>
      <c r="D84" s="1" t="s">
        <v>1</v>
      </c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</row>
    <row r="85" spans="1:20" ht="45" customHeight="1" x14ac:dyDescent="0.25">
      <c r="A85" s="3" t="s">
        <v>139</v>
      </c>
      <c r="B85" s="1" t="s">
        <v>151</v>
      </c>
      <c r="C85" s="1" t="s">
        <v>1</v>
      </c>
      <c r="D85" s="1" t="s">
        <v>1</v>
      </c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5" t="str">
        <f>IFERROR(IF(I85=ROUND(G89/G8*100,1)," "," Стр. 59, Гр. 5 [I85]  д.б. = [Окр(G89/G8*100,1)] {" &amp; ROUND(G89/G8*100,1) &amp; "}.")," ") &amp; IFERROR(IF(J85=ROUND(H89/H8*100,1)," "," Стр. 59, Гр. 6 [J85]  д.б. = [Окр(H89/H8*100,1)] {" &amp; ROUND(H89/H8*100,1) &amp; "}.")," ") &amp; IFERROR(IF(K85=ROUND(G89/E89,1)," "," Стр. 59, Гр. 7 [K85]  д.б. = [Окр(G89/E89,1)] {" &amp; ROUND(G89/E89,1) &amp; "}.")," ") &amp; IFERROR(IF(L85=ROUND(H89/F89,1)," "," Стр. 59, Гр. 8 [L85]  д.б. = [Окр(H89/F89,1)] {" &amp; ROUND(H89/F89,1) &amp; "}.")," ") &amp; IFERROR(IF(M85=ROUND(K89/L89*100,1)," "," Стр. 59, Гр. 9 [M85]  д.б. = [Окр(K89/L89*100,1)] {" &amp; ROUND(K89/L89*100,1) &amp; "}.")," ") &amp; IFERROR(IF(N85=ROUND(E89/F89*100,1)," "," Стр. 59, Гр. 10 [N85]  д.б. = [Окр(E89/F89*100,1)] {" &amp; ROUND(E89/F89*100,1) &amp; "}.")," ") &amp; IFERROR(IF(O85=ROUND(G89/H89*100,1)," "," Стр. 59, Гр. 11 [O85]  д.б. = [Окр(G89/H89*100,1)] {" &amp; ROUND(G89/H89*100,1) &amp; "}.")," ") &amp; IFERROR(IF(P85=ROUND(E89/E87*100,1)," "," Стр. 59, Гр. 12 [P85]  д.б. = [Окр(E89/E87*100,1)] {" &amp; ROUND(E89/E87*100,1) &amp; "}.")," ") &amp; IFERROR(IF(Q85=ROUND(F89/F87*100,1)," "," Стр. 59, Гр. 13 [Q85]  д.б. = [Окр(F89/F87*100,1)] {" &amp; ROUND(F89/F87*100,1) &amp; "}.")," ") &amp; IFERROR(IF(R85=ROUND(K89/K90*100,1)," "," Стр. 59, Гр. 14 [R85]  д.б. = [Окр(K89/K90*100,1)] {" &amp; ROUND(K89/K90*100,1) &amp; "}.")," ") &amp; IFERROR(IF(S85=ROUND(L89/L90*100,1)," "," Стр. 59, Гр. 15 [S85]  д.б. = [Окр(L89/L90*100,1)] {" &amp; ROUND(L89/L90*100,1) &amp; "}.")," ")</f>
        <v xml:space="preserve">           </v>
      </c>
    </row>
    <row r="86" spans="1:20" ht="45" customHeight="1" x14ac:dyDescent="0.25">
      <c r="A86" s="3" t="s">
        <v>141</v>
      </c>
      <c r="B86" s="1" t="s">
        <v>152</v>
      </c>
      <c r="C86" s="1" t="s">
        <v>1</v>
      </c>
      <c r="D86" s="1" t="s">
        <v>1</v>
      </c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5" t="str">
        <f>IFERROR(IF(I86=ROUND(G90/G9*100,1)," "," Стр. 60, Гр. 5 [I86]  д.б. = [Окр(G90/G9*100,1)] {" &amp; ROUND(G90/G9*100,1) &amp; "}.")," ") &amp; IFERROR(IF(J86=ROUND(H90/H9*100,1)," "," Стр. 60, Гр. 6 [J86]  д.б. = [Окр(H90/H9*100,1)] {" &amp; ROUND(H90/H9*100,1) &amp; "}.")," ") &amp; IFERROR(IF(K86=ROUND(G90/E90,1)," "," Стр. 60, Гр. 7 [K86]  д.б. = [Окр(G90/E90,1)] {" &amp; ROUND(G90/E90,1) &amp; "}.")," ") &amp; IFERROR(IF(L86=ROUND(H90/F90,1)," "," Стр. 60, Гр. 8 [L86]  д.б. = [Окр(H90/F90,1)] {" &amp; ROUND(H90/F90,1) &amp; "}.")," ") &amp; IFERROR(IF(M86=ROUND(K90/L90*100,1)," "," Стр. 60, Гр. 9 [M86]  д.б. = [Окр(K90/L90*100,1)] {" &amp; ROUND(K90/L90*100,1) &amp; "}.")," ") &amp; IFERROR(IF(N86=ROUND(E90/F90*100,1)," "," Стр. 60, Гр. 10 [N86]  д.б. = [Окр(E90/F90*100,1)] {" &amp; ROUND(E90/F90*100,1) &amp; "}.")," ") &amp; IFERROR(IF(O86=ROUND(G90/H90*100,1)," "," Стр. 60, Гр. 11 [O86]  д.б. = [Окр(G90/H90*100,1)] {" &amp; ROUND(G90/H90*100,1) &amp; "}.")," ") &amp; IFERROR(IF(P86=ROUND(E90/E87*100,1)," "," Стр. 60, Гр. 12 [P86]  д.б. = [Окр(E90/E87*100,1)] {" &amp; ROUND(E90/E87*100,1) &amp; "}.")," ") &amp; IFERROR(IF(Q86=ROUND(F90/F87*100,1)," "," Стр. 60, Гр. 13 [Q86]  д.б. = [Окр(F90/F87*100,1)] {" &amp; ROUND(F90/F87*100,1) &amp; "}.")," ") &amp; IFERROR(IF(R86=ROUND(K90/K89*100,1)," "," Стр. 60, Гр. 14 [R86]  д.б. = [Окр(K90/K89*100,1)] {" &amp; ROUND(K90/K89*100,1) &amp; "}.")," ") &amp; IFERROR(IF(S86=ROUND(L90/L89*100,1)," "," Стр. 60, Гр. 15 [S86]  д.б. = [Окр(L90/L89*100,1)] {" &amp; ROUND(L90/L89*100,1) &amp; "}.")," ")</f>
        <v xml:space="preserve">           </v>
      </c>
    </row>
    <row r="87" spans="1:20" ht="45" customHeight="1" x14ac:dyDescent="0.25">
      <c r="A87" s="3" t="s">
        <v>153</v>
      </c>
      <c r="B87" s="1" t="s">
        <v>154</v>
      </c>
      <c r="C87" s="1" t="s">
        <v>155</v>
      </c>
      <c r="D87" s="1" t="s">
        <v>156</v>
      </c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5" t="str">
        <f>IFERROR(IF(E87=ROUND(SUM(E93:E94),1)," "," Стр. 61, Гр. 1 [E87]  д.б. = [Окр(Сум(E93:E94),1)] {" &amp; ROUND(SUM(E93:E94),1) &amp; "}.")," ") &amp; IFERROR(IF(F87=ROUND(SUM(F93:F94),1)," "," Стр. 61, Гр. 2 [F87]  д.б. = [Окр(Сум(F93:F94),1)] {" &amp; ROUND(SUM(F93:F94),1) &amp; "}.")," ") &amp; IFERROR(IF(G87=ROUND(SUM(G93:G94),1)," "," Стр. 61, Гр. 3 [G87]  д.б. = [Окр(Сум(G93:G94),1)] {" &amp; ROUND(SUM(G93:G94),1) &amp; "}.")," ") &amp; IFERROR(IF(H87=ROUND(SUM(H93:H94),1)," "," Стр. 61, Гр. 4 [H87]  д.б. = [Окр(Сум(H93:H94),1)] {" &amp; ROUND(SUM(H93:H94),1) &amp; "}.")," ") &amp; IFERROR(IF(I87=ROUND(G91/G6*100,1)," "," Стр. 61, Гр. 5 [I87]  д.б. = [Окр(G91/G6*100,1)] {" &amp; ROUND(G91/G6*100,1) &amp; "}.")," ") &amp; IFERROR(IF(J87=ROUND(H91/H6*100,1)," "," Стр. 61, Гр. 6 [J87]  д.б. = [Окр(H91/H6*100,1)] {" &amp; ROUND(H91/H6*100,1) &amp; "}.")," ") &amp; IFERROR(IF(K87=ROUND(G91/E91,1)," "," Стр. 61, Гр. 7 [K87]  д.б. = [Окр(G91/E91,1)] {" &amp; ROUND(G91/E91,1) &amp; "}.")," ") &amp; IFERROR(IF(L87=ROUND(H91/F91,1)," "," Стр. 61, Гр. 8 [L87]  д.б. = [Окр(H91/F91,1)] {" &amp; ROUND(H91/F91,1) &amp; "}.")," ") &amp; IFERROR(IF(M87=ROUND(K91/L91*100,1)," "," Стр. 61, Гр. 9 [M87]  д.б. = [Окр(K91/L91*100,1)] {" &amp; ROUND(K91/L91*100,1) &amp; "}.")," ") &amp; IFERROR(IF(N87=ROUND(E91/F91*100,1)," "," Стр. 61, Гр. 10 [N87]  д.б. = [Окр(E91/F91*100,1)] {" &amp; ROUND(E91/F91*100,1) &amp; "}.")," ") &amp; IFERROR(IF(O87=ROUND(G91/H91*100,1)," "," Стр. 61, Гр. 11 [O87]  д.б. = [Окр(G91/H91*100,1)] {" &amp; ROUND(G91/H91*100,1) &amp; "}.")," ") &amp; IFERROR(IF(P87=ROUND(SUM(P93:P94),1)," "," Стр. 61, Гр. 12 [P87]  д.б. = [Окр(Сум(P93:P94),1)] {" &amp; ROUND(SUM(P93:P94),1) &amp; "}.")," ") &amp; IFERROR(IF(Q87=ROUND(SUM(Q93:Q94),1)," "," Стр. 61, Гр. 13 [Q87]  д.б. = [Окр(Сум(Q93:Q94),1)] {" &amp; ROUND(SUM(Q93:Q94),1) &amp; "}.")," ")</f>
        <v xml:space="preserve">             </v>
      </c>
    </row>
    <row r="88" spans="1:20" ht="45" customHeight="1" x14ac:dyDescent="0.25">
      <c r="A88" s="3" t="s">
        <v>57</v>
      </c>
      <c r="B88" s="1"/>
      <c r="C88" s="1" t="s">
        <v>1</v>
      </c>
      <c r="D88" s="1" t="s">
        <v>1</v>
      </c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</row>
    <row r="89" spans="1:20" ht="45" customHeight="1" x14ac:dyDescent="0.25">
      <c r="A89" s="3" t="s">
        <v>58</v>
      </c>
      <c r="B89" s="1" t="s">
        <v>157</v>
      </c>
      <c r="C89" s="1" t="s">
        <v>1</v>
      </c>
      <c r="D89" s="1" t="s">
        <v>1</v>
      </c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5" t="str">
        <f>IFERROR(IF(I89=ROUND(G93/G8*100,1)," "," Стр. 62, Гр. 5 [I89]  д.б. = [Окр(G93/G8*100,1)] {" &amp; ROUND(G93/G8*100,1) &amp; "}.")," ") &amp; IFERROR(IF(J89=ROUND(H93/H8*100,1)," "," Стр. 62, Гр. 6 [J89]  д.б. = [Окр(H93/H8*100,1)] {" &amp; ROUND(H93/H8*100,1) &amp; "}.")," ") &amp; IFERROR(IF(K89=ROUND(G93/E93,1)," "," Стр. 62, Гр. 7 [K89]  д.б. = [Окр(G93/E93,1)] {" &amp; ROUND(G93/E93,1) &amp; "}.")," ") &amp; IFERROR(IF(L89=ROUND(H93/F93,1)," "," Стр. 62, Гр. 8 [L89]  д.б. = [Окр(H93/F93,1)] {" &amp; ROUND(H93/F93,1) &amp; "}.")," ") &amp; IFERROR(IF(M89=ROUND(K93/L93*100,1)," "," Стр. 62, Гр. 9 [M89]  д.б. = [Окр(K93/L93*100,1)] {" &amp; ROUND(K93/L93*100,1) &amp; "}.")," ") &amp; IFERROR(IF(N89=ROUND(E93/F93*100,1)," "," Стр. 62, Гр. 10 [N89]  д.б. = [Окр(E93/F93*100,1)] {" &amp; ROUND(E93/F93*100,1) &amp; "}.")," ") &amp; IFERROR(IF(O89=ROUND(G93/H93*100,1)," "," Стр. 62, Гр. 11 [O89]  д.б. = [Окр(G93/H93*100,1)] {" &amp; ROUND(G93/H93*100,1) &amp; "}.")," ") &amp; IFERROR(IF(P89=ROUND(E93/E91*100,1)," "," Стр. 62, Гр. 12 [P89]  д.б. = [Окр(E93/E91*100,1)] {" &amp; ROUND(E93/E91*100,1) &amp; "}.")," ") &amp; IFERROR(IF(Q89=ROUND(F93/F91*100,1)," "," Стр. 62, Гр. 13 [Q89]  д.б. = [Окр(F93/F91*100,1)] {" &amp; ROUND(F93/F91*100,1) &amp; "}.")," ") &amp; IFERROR(IF(R89=ROUND(K93/K94*100,1)," "," Стр. 62, Гр. 14 [R89]  д.б. = [Окр(K93/K94*100,1)] {" &amp; ROUND(K93/K94*100,1) &amp; "}.")," ") &amp; IFERROR(IF(S89=ROUND(L93/L94*100,1)," "," Стр. 62, Гр. 15 [S89]  д.б. = [Окр(L93/L94*100,1)] {" &amp; ROUND(L93/L94*100,1) &amp; "}.")," ")</f>
        <v xml:space="preserve">           </v>
      </c>
    </row>
    <row r="90" spans="1:20" ht="45" customHeight="1" x14ac:dyDescent="0.25">
      <c r="A90" s="3" t="s">
        <v>60</v>
      </c>
      <c r="B90" s="1" t="s">
        <v>158</v>
      </c>
      <c r="C90" s="1" t="s">
        <v>1</v>
      </c>
      <c r="D90" s="1" t="s">
        <v>1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5" t="str">
        <f>IFERROR(IF(I90=ROUND(G94/G9*100,1)," "," Стр. 63, Гр. 5 [I90]  д.б. = [Окр(G94/G9*100,1)] {" &amp; ROUND(G94/G9*100,1) &amp; "}.")," ") &amp; IFERROR(IF(J90=ROUND(H94/H9*100,1)," "," Стр. 63, Гр. 6 [J90]  д.б. = [Окр(H94/H9*100,1)] {" &amp; ROUND(H94/H9*100,1) &amp; "}.")," ") &amp; IFERROR(IF(K90=ROUND(G94/E94,1)," "," Стр. 63, Гр. 7 [K90]  д.б. = [Окр(G94/E94,1)] {" &amp; ROUND(G94/E94,1) &amp; "}.")," ") &amp; IFERROR(IF(L90=ROUND(H94/F94,1)," "," Стр. 63, Гр. 8 [L90]  д.б. = [Окр(H94/F94,1)] {" &amp; ROUND(H94/F94,1) &amp; "}.")," ") &amp; IFERROR(IF(M90=ROUND(K94/L94*100,1)," "," Стр. 63, Гр. 9 [M90]  д.б. = [Окр(K94/L94*100,1)] {" &amp; ROUND(K94/L94*100,1) &amp; "}.")," ") &amp; IFERROR(IF(N90=ROUND(E94/F94*100,1)," "," Стр. 63, Гр. 10 [N90]  д.б. = [Окр(E94/F94*100,1)] {" &amp; ROUND(E94/F94*100,1) &amp; "}.")," ") &amp; IFERROR(IF(O90=ROUND(G94/H94*100,1)," "," Стр. 63, Гр. 11 [O90]  д.б. = [Окр(G94/H94*100,1)] {" &amp; ROUND(G94/H94*100,1) &amp; "}.")," ") &amp; IFERROR(IF(P90=ROUND(E94/E91*100,1)," "," Стр. 63, Гр. 12 [P90]  д.б. = [Окр(E94/E91*100,1)] {" &amp; ROUND(E94/E91*100,1) &amp; "}.")," ") &amp; IFERROR(IF(Q90=ROUND(F94/F91*100,1)," "," Стр. 63, Гр. 13 [Q90]  д.б. = [Окр(F94/F91*100,1)] {" &amp; ROUND(F94/F91*100,1) &amp; "}.")," ") &amp; IFERROR(IF(R90=ROUND(K94/K93*100,1)," "," Стр. 63, Гр. 14 [R90]  д.б. = [Окр(K94/K93*100,1)] {" &amp; ROUND(K94/K93*100,1) &amp; "}.")," ") &amp; IFERROR(IF(S90=ROUND(L94/L93*100,1)," "," Стр. 63, Гр. 15 [S90]  д.б. = [Окр(L94/L93*100,1)] {" &amp; ROUND(L94/L93*100,1) &amp; "}.")," ")</f>
        <v xml:space="preserve">           </v>
      </c>
    </row>
    <row r="91" spans="1:20" ht="45" customHeight="1" x14ac:dyDescent="0.25">
      <c r="A91" s="3" t="s">
        <v>159</v>
      </c>
      <c r="B91" s="1" t="s">
        <v>160</v>
      </c>
      <c r="C91" s="1" t="s">
        <v>161</v>
      </c>
      <c r="D91" s="1" t="s">
        <v>162</v>
      </c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5" t="str">
        <f>IFERROR(IF(E91=ROUND(SUM(E97:E98),1)," "," Стр. 64, Гр. 1 [E91]  д.б. = [Окр(Сум(E97:E98),1)] {" &amp; ROUND(SUM(E97:E98),1) &amp; "}.")," ") &amp; IFERROR(IF(F91=ROUND(SUM(F97:F98),1)," "," Стр. 64, Гр. 2 [F91]  д.б. = [Окр(Сум(F97:F98),1)] {" &amp; ROUND(SUM(F97:F98),1) &amp; "}.")," ") &amp; IFERROR(IF(G91=ROUND(SUM(G97:G98),1)," "," Стр. 64, Гр. 3 [G91]  д.б. = [Окр(Сум(G97:G98),1)] {" &amp; ROUND(SUM(G97:G98),1) &amp; "}.")," ") &amp; IFERROR(IF(H91=ROUND(SUM(H97:H98),1)," "," Стр. 64, Гр. 4 [H91]  д.б. = [Окр(Сум(H97:H98),1)] {" &amp; ROUND(SUM(H97:H98),1) &amp; "}.")," ") &amp; IFERROR(IF(I91=ROUND(G97/G6*100,1)," "," Стр. 64, Гр. 5 [I91]  д.б. = [Окр(G97/G6*100,1)] {" &amp; ROUND(G97/G6*100,1) &amp; "}.")," ") &amp; IFERROR(IF(J91=ROUND(H97/H6*100,1)," "," Стр. 64, Гр. 6 [J91]  д.б. = [Окр(H97/H6*100,1)] {" &amp; ROUND(H97/H6*100,1) &amp; "}.")," ") &amp; IFERROR(IF(K91=ROUND(G95/E95,1)," "," Стр. 64, Гр. 7 [K91]  д.б. = [Окр(G95/E95,1)] {" &amp; ROUND(G95/E95,1) &amp; "}.")," ") &amp; IFERROR(IF(L91=ROUND(H95/F95*100,1)," "," Стр. 64, Гр. 8 [L91]  д.б. = [Окр(H95/F95*100,1)] {" &amp; ROUND(H95/F95*100,1) &amp; "}.")," ") &amp; IFERROR(IF(M91=ROUND(K95/L95*100,1)," "," Стр. 64, Гр. 9 [M91]  д.б. = [Окр(K95/L95*100,1)] {" &amp; ROUND(K95/L95*100,1) &amp; "}.")," ") &amp; IFERROR(IF(N91=ROUND(E95/F95*100,1)," "," Стр. 64, Гр. 10 [N91]  д.б. = [Окр(E95/F95*100,1)] {" &amp; ROUND(E95/F95*100,1) &amp; "}.")," ") &amp; IFERROR(IF(O91=ROUND(G95/H95*100,1)," "," Стр. 64, Гр. 11 [O91]  д.б. = [Окр(G95/H95*100,1)] {" &amp; ROUND(G95/H95*100,1) &amp; "}.")," ") &amp; IFERROR(IF(P91=ROUND(SUM(P97:P98),1)," "," Стр. 64, Гр. 12 [P91]  д.б. = [Окр(Сум(P97:P98),1)] {" &amp; ROUND(SUM(P97:P98),1) &amp; "}.")," ") &amp; IFERROR(IF(Q91=ROUND(SUM(Q97:Q98),1)," "," Стр. 64, Гр. 13 [Q91]  д.б. = [Окр(Сум(Q97:Q98),1)] {" &amp; ROUND(SUM(Q97:Q98),1) &amp; "}.")," ")</f>
        <v xml:space="preserve">             </v>
      </c>
    </row>
    <row r="92" spans="1:20" ht="45" customHeight="1" x14ac:dyDescent="0.25">
      <c r="A92" s="3" t="s">
        <v>57</v>
      </c>
      <c r="B92" s="1"/>
      <c r="C92" s="1" t="s">
        <v>1</v>
      </c>
      <c r="D92" s="1" t="s">
        <v>1</v>
      </c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</row>
    <row r="93" spans="1:20" ht="45" customHeight="1" x14ac:dyDescent="0.25">
      <c r="A93" s="3" t="s">
        <v>58</v>
      </c>
      <c r="B93" s="1" t="s">
        <v>163</v>
      </c>
      <c r="C93" s="1" t="s">
        <v>1</v>
      </c>
      <c r="D93" s="1" t="s">
        <v>1</v>
      </c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5" t="str">
        <f>IFERROR(IF(I93=ROUND(G97/G8*100,1)," "," Стр. 65, Гр. 5 [I93]  д.б. = [Окр(G97/G8*100,1)] {" &amp; ROUND(G97/G8*100,1) &amp; "}.")," ") &amp; IFERROR(IF(J93=ROUND(H97/H8*100,1)," "," Стр. 65, Гр. 6 [J93]  д.б. = [Окр(H97/H8*100,1)] {" &amp; ROUND(H97/H8*100,1) &amp; "}.")," ") &amp; IFERROR(IF(K93=ROUND(G97/E97,1)," "," Стр. 65, Гр. 7 [K93]  д.б. = [Окр(G97/E97,1)] {" &amp; ROUND(G97/E97,1) &amp; "}.")," ") &amp; IFERROR(IF(L93=ROUND(H97/F97,1)," "," Стр. 65, Гр. 8 [L93]  д.б. = [Окр(H97/F97,1)] {" &amp; ROUND(H97/F97,1) &amp; "}.")," ") &amp; IFERROR(IF(M93=ROUND(K97/L97*100,1)," "," Стр. 65, Гр. 9 [M93]  д.б. = [Окр(K97/L97*100,1)] {" &amp; ROUND(K97/L97*100,1) &amp; "}.")," ") &amp; IFERROR(IF(N93=ROUND(E97/F97*100,1)," "," Стр. 65, Гр. 10 [N93]  д.б. = [Окр(E97/F97*100,1)] {" &amp; ROUND(E97/F97*100,1) &amp; "}.")," ") &amp; IFERROR(IF(O93=ROUND(G97/H97*100,1)," "," Стр. 65, Гр. 11 [O93]  д.б. = [Окр(G97/H97*100,1)] {" &amp; ROUND(G97/H97*100,1) &amp; "}.")," ") &amp; IFERROR(IF(P93=ROUND(E97/E95*100,1)," "," Стр. 65, Гр. 12 [P93]  д.б. = [Окр(E97/E95*100,1)] {" &amp; ROUND(E97/E95*100,1) &amp; "}.")," ") &amp; IFERROR(IF(Q93=ROUND(F97/F95*100,1)," "," Стр. 65, Гр. 13 [Q93]  д.б. = [Окр(F97/F95*100,1)] {" &amp; ROUND(F97/F95*100,1) &amp; "}.")," ") &amp; IFERROR(IF(R93=ROUND(K97/K98*100,1)," "," Стр. 65, Гр. 14 [R93]  д.б. = [Окр(K97/K98*100,1)] {" &amp; ROUND(K97/K98*100,1) &amp; "}.")," ") &amp; IFERROR(IF(S93=ROUND(L97/L98*100,1)," "," Стр. 65, Гр. 15 [S93]  д.б. = [Окр(L97/L98*100,1)] {" &amp; ROUND(L97/L98*100,1) &amp; "}.")," ")</f>
        <v xml:space="preserve">           </v>
      </c>
    </row>
    <row r="94" spans="1:20" ht="45" customHeight="1" x14ac:dyDescent="0.25">
      <c r="A94" s="3" t="s">
        <v>60</v>
      </c>
      <c r="B94" s="1" t="s">
        <v>164</v>
      </c>
      <c r="C94" s="1" t="s">
        <v>1</v>
      </c>
      <c r="D94" s="1" t="s">
        <v>1</v>
      </c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5" t="str">
        <f>IFERROR(IF(I94=ROUND(G98/G9*100,1)," "," Стр. 66, Гр. 5 [I94]  д.б. = [Окр(G98/G9*100,1)] {" &amp; ROUND(G98/G9*100,1) &amp; "}.")," ") &amp; IFERROR(IF(J94=ROUND(H98/H9*100,1)," "," Стр. 66, Гр. 6 [J94]  д.б. = [Окр(H98/H9*100,1)] {" &amp; ROUND(H98/H9*100,1) &amp; "}.")," ") &amp; IFERROR(IF(K94=ROUND(G98/E98,1)," "," Стр. 66, Гр. 7 [K94]  д.б. = [Окр(G98/E98,1)] {" &amp; ROUND(G98/E98,1) &amp; "}.")," ") &amp; IFERROR(IF(L94=ROUND(H98/F98,1)," "," Стр. 66, Гр. 8 [L94]  д.б. = [Окр(H98/F98,1)] {" &amp; ROUND(H98/F98,1) &amp; "}.")," ") &amp; IFERROR(IF(M94=ROUND(K98/L98*100,1)," "," Стр. 66, Гр. 9 [M94]  д.б. = [Окр(K98/L98*100,1)] {" &amp; ROUND(K98/L98*100,1) &amp; "}.")," ") &amp; IFERROR(IF(N94=ROUND(E98/F98*100,1)," "," Стр. 66, Гр. 10 [N94]  д.б. = [Окр(E98/F98*100,1)] {" &amp; ROUND(E98/F98*100,1) &amp; "}.")," ") &amp; IFERROR(IF(O94=ROUND(G98/H98*100,1)," "," Стр. 66, Гр. 11 [O94]  д.б. = [Окр(G98/H98*100,1)] {" &amp; ROUND(G98/H98*100,1) &amp; "}.")," ") &amp; IFERROR(IF(P94=ROUND(E98/E95*100,1)," "," Стр. 66, Гр. 12 [P94]  д.б. = [Окр(E98/E95*100,1)] {" &amp; ROUND(E98/E95*100,1) &amp; "}.")," ") &amp; IFERROR(IF(Q94=ROUND(E98/E95*100,1)," "," Стр. 66, Гр. 13 [Q94]  д.б. = [Окр(E98/E95*100,1)] {" &amp; ROUND(E98/E95*100,1) &amp; "}.")," ") &amp; IFERROR(IF(R94=ROUND(K98/K97*100,1)," "," Стр. 66, Гр. 14 [R94]  д.б. = [Окр(K98/K97*100,1)] {" &amp; ROUND(K98/K97*100,1) &amp; "}.")," ") &amp; IFERROR(IF(S94=ROUND(L98/L97*100,1)," "," Стр. 66, Гр. 15 [S94]  д.б. = [Окр(L98/L97*100,1)] {" &amp; ROUND(L98/L97*100,1) &amp; "}.")," ")</f>
        <v xml:space="preserve">           </v>
      </c>
    </row>
    <row r="95" spans="1:20" ht="45" customHeight="1" x14ac:dyDescent="0.25">
      <c r="A95" s="3" t="s">
        <v>165</v>
      </c>
      <c r="B95" s="1" t="s">
        <v>166</v>
      </c>
      <c r="C95" s="1" t="s">
        <v>167</v>
      </c>
      <c r="D95" s="1" t="s">
        <v>168</v>
      </c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5" t="str">
        <f>IFERROR(IF(E95=ROUND(SUM(E101:E102),1)," "," Стр. 67, Гр. 1 [E95]  д.б. = [Окр(Сум(E101:E102),1)] {" &amp; ROUND(SUM(E101:E102),1) &amp; "}.")," ") &amp; IFERROR(IF(F95=ROUND(SUM(F101:F102),1)," "," Стр. 67, Гр. 2 [F95]  д.б. = [Окр(Сум(F101:F102),1)] {" &amp; ROUND(SUM(F101:F102),1) &amp; "}.")," ") &amp; IFERROR(IF(G95=ROUND(SUM(G101:G102),1)," "," Стр. 67, Гр. 3 [G95]  д.б. = [Окр(Сум(G101:G102),1)] {" &amp; ROUND(SUM(G101:G102),1) &amp; "}.")," ") &amp; IFERROR(IF(H95=ROUND(SUM(H101:H102),1)," "," Стр. 67, Гр. 4 [H95]  д.б. = [Окр(Сум(H101:H102),1)] {" &amp; ROUND(SUM(H101:H102),1) &amp; "}.")," ") &amp; IFERROR(IF(I95=ROUND(G101/G6*100,1)," "," Стр. 67, Гр. 5 [I95]  д.б. = [Окр(G101/G6*100,1)] {" &amp; ROUND(G101/G6*100,1) &amp; "}.")," ") &amp; IFERROR(IF(J95=ROUND(H101/H6*100,1)," "," Стр. 67, Гр. 6 [J95]  д.б. = [Окр(H101/H6*100,1)] {" &amp; ROUND(H101/H6*100,1) &amp; "}.")," ") &amp; IFERROR(IF(K95=ROUND(G99/E99*1000,1)," "," Стр. 67, Гр. 7 [K95]  д.б. = [Окр(G99/E99*1000,1)] {" &amp; ROUND(G99/E99*1000,1) &amp; "}.")," ") &amp; IFERROR(IF(L95=ROUND(H99/F99*1000,1)," "," Стр. 67, Гр. 8 [L95]  д.б. = [Окр(H99/F99*1000,1)] {" &amp; ROUND(H99/F99*1000,1) &amp; "}.")," ") &amp; IFERROR(IF(M95=ROUND(K99/L99*100,1)," "," Стр. 67, Гр. 9 [M95]  д.б. = [Окр(K99/L99*100,1)] {" &amp; ROUND(K99/L99*100,1) &amp; "}.")," ") &amp; IFERROR(IF(N95=ROUND(E99/F99*100,1)," "," Стр. 67, Гр. 10 [N95]  д.б. = [Окр(E99/F99*100,1)] {" &amp; ROUND(E99/F99*100,1) &amp; "}.")," ") &amp; IFERROR(IF(O95=ROUND(G99/H99*100,1)," "," Стр. 67, Гр. 11 [O95]  д.б. = [Окр(G99/H99*100,1)] {" &amp; ROUND(G99/H99*100,1) &amp; "}.")," ") &amp; IFERROR(IF(P95=ROUND(SUM(P101:P102),1)," "," Стр. 67, Гр. 12 [P95]  д.б. = [Окр(Сум(P101:P102),1)] {" &amp; ROUND(SUM(P101:P102),1) &amp; "}.")," ") &amp; IFERROR(IF(Q95=ROUND(SUM(Q101:Q102),1)," "," Стр. 67, Гр. 13 [Q95]  д.б. = [Окр(Сум(Q101:Q102),1)] {" &amp; ROUND(SUM(Q101:Q102),1) &amp; "}.")," ")</f>
        <v xml:space="preserve">             </v>
      </c>
    </row>
    <row r="96" spans="1:20" ht="45" customHeight="1" x14ac:dyDescent="0.25">
      <c r="A96" s="3" t="s">
        <v>57</v>
      </c>
      <c r="B96" s="1"/>
      <c r="C96" s="1" t="s">
        <v>1</v>
      </c>
      <c r="D96" s="1" t="s">
        <v>1</v>
      </c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</row>
    <row r="97" spans="1:20" ht="45" customHeight="1" x14ac:dyDescent="0.25">
      <c r="A97" s="3" t="s">
        <v>58</v>
      </c>
      <c r="B97" s="1" t="s">
        <v>169</v>
      </c>
      <c r="C97" s="1" t="s">
        <v>1</v>
      </c>
      <c r="D97" s="1" t="s">
        <v>1</v>
      </c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5" t="str">
        <f>IFERROR(IF(I97=ROUND(G101/G8*100,1)," "," Стр. 68, Гр. 5 [I97]  д.б. = [Окр(G101/G8*100,1)] {" &amp; ROUND(G101/G8*100,1) &amp; "}.")," ") &amp; IFERROR(IF(J97=ROUND(H101/H8*100,1)," "," Стр. 68, Гр. 6 [J97]  д.б. = [Окр(H101/H8*100,1)] {" &amp; ROUND(H101/H8*100,1) &amp; "}.")," ") &amp; IFERROR(IF(K97=ROUND(G101/E101*1000,1)," "," Стр. 68, Гр. 7 [K97]  д.б. = [Окр(G101/E101*1000,1)] {" &amp; ROUND(G101/E101*1000,1) &amp; "}.")," ") &amp; IFERROR(IF(L97=ROUND(H101/F101*1000,1)," "," Стр. 68, Гр. 8 [L97]  д.б. = [Окр(H101/F101*1000,1)] {" &amp; ROUND(H101/F101*1000,1) &amp; "}.")," ") &amp; IFERROR(IF(M97=ROUND(K101/L101*100,1)," "," Стр. 68, Гр. 9 [M97]  д.б. = [Окр(K101/L101*100,1)] {" &amp; ROUND(K101/L101*100,1) &amp; "}.")," ") &amp; IFERROR(IF(N97=ROUND(E101/F101*100,1)," "," Стр. 68, Гр. 10 [N97]  д.б. = [Окр(E101/F101*100,1)] {" &amp; ROUND(E101/F101*100,1) &amp; "}.")," ") &amp; IFERROR(IF(O97=ROUND(G101/H101*100,1)," "," Стр. 68, Гр. 11 [O97]  д.б. = [Окр(G101/H101*100,1)] {" &amp; ROUND(G101/H101*100,1) &amp; "}.")," ") &amp; IFERROR(IF(P97=ROUND(E101/E99*100,1)," "," Стр. 68, Гр. 12 [P97]  д.б. = [Окр(E101/E99*100,1)] {" &amp; ROUND(E101/E99*100,1) &amp; "}.")," ") &amp; IFERROR(IF(Q97=ROUND(F101/F99*100,1)," "," Стр. 68, Гр. 13 [Q97]  д.б. = [Окр(F101/F99*100,1)] {" &amp; ROUND(F101/F99*100,1) &amp; "}.")," ") &amp; IFERROR(IF(R97=ROUND(K101/K102*100,1)," "," Стр. 68, Гр. 14 [R97]  д.б. = [Окр(K101/K102*100,1)] {" &amp; ROUND(K101/K102*100,1) &amp; "}.")," ") &amp; IFERROR(IF(S97=ROUND(L101/L102*100,1)," "," Стр. 68, Гр. 15 [S97]  д.б. = [Окр(L101/L102*100,1)] {" &amp; ROUND(L101/L102*100,1) &amp; "}.")," ")</f>
        <v xml:space="preserve">           </v>
      </c>
    </row>
    <row r="98" spans="1:20" ht="45" customHeight="1" x14ac:dyDescent="0.25">
      <c r="A98" s="3" t="s">
        <v>60</v>
      </c>
      <c r="B98" s="1" t="s">
        <v>170</v>
      </c>
      <c r="C98" s="1" t="s">
        <v>1</v>
      </c>
      <c r="D98" s="1" t="s">
        <v>1</v>
      </c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5" t="str">
        <f>IFERROR(IF(I98=ROUND(G102/G9*100,1)," "," Стр. 69, Гр. 5 [I98]  д.б. = [Окр(G102/G9*100,1)] {" &amp; ROUND(G102/G9*100,1) &amp; "}.")," ") &amp; IFERROR(IF(J98=ROUND(H102/H9*100,1)," "," Стр. 69, Гр. 6 [J98]  д.б. = [Окр(H102/H9*100,1)] {" &amp; ROUND(H102/H9*100,1) &amp; "}.")," ") &amp; IFERROR(IF(K98=ROUND(G102/E102*1000,1)," "," Стр. 69, Гр. 7 [K98]  д.б. = [Окр(G102/E102*1000,1)] {" &amp; ROUND(G102/E102*1000,1) &amp; "}.")," ") &amp; IFERROR(IF(L98=ROUND(H102/F102*1000,1)," "," Стр. 69, Гр. 8 [L98]  д.б. = [Окр(H102/F102*1000,1)] {" &amp; ROUND(H102/F102*1000,1) &amp; "}.")," ") &amp; IFERROR(IF(M98=ROUND(K102/L102*100,1)," "," Стр. 69, Гр. 9 [M98]  д.б. = [Окр(K102/L102*100,1)] {" &amp; ROUND(K102/L102*100,1) &amp; "}.")," ") &amp; IFERROR(IF(N98=ROUND(E102/F102*100,1)," "," Стр. 69, Гр. 10 [N98]  д.б. = [Окр(E102/F102*100,1)] {" &amp; ROUND(E102/F102*100,1) &amp; "}.")," ") &amp; IFERROR(IF(O98=ROUND(G102/H102*100,1)," "," Стр. 69, Гр. 11 [O98]  д.б. = [Окр(G102/H102*100,1)] {" &amp; ROUND(G102/H102*100,1) &amp; "}.")," ") &amp; IFERROR(IF(P98=ROUND(E102/E99*100,1)," "," Стр. 69, Гр. 12 [P98]  д.б. = [Окр(E102/E99*100,1)] {" &amp; ROUND(E102/E99*100,1) &amp; "}.")," ") &amp; IFERROR(IF(Q98=ROUND(F102/F99*100,1)," "," Стр. 69, Гр. 13 [Q98]  д.б. = [Окр(F102/F99*100,1)] {" &amp; ROUND(F102/F99*100,1) &amp; "}.")," ") &amp; IFERROR(IF(R98=ROUND(K102/K101*100,1)," "," Стр. 69, Гр. 14 [R98]  д.б. = [Окр(K102/K101*100,1)] {" &amp; ROUND(K102/K101*100,1) &amp; "}.")," ") &amp; IFERROR(IF(S98=ROUND(L102/L101*100,1)," "," Стр. 69, Гр. 15 [S98]  д.б. = [Окр(L102/L101*100,1)] {" &amp; ROUND(L102/L101*100,1) &amp; "}.")," ")</f>
        <v xml:space="preserve">           </v>
      </c>
    </row>
    <row r="99" spans="1:20" ht="45" customHeight="1" x14ac:dyDescent="0.25">
      <c r="A99" s="3" t="s">
        <v>171</v>
      </c>
      <c r="B99" s="1" t="s">
        <v>172</v>
      </c>
      <c r="C99" s="1" t="s">
        <v>173</v>
      </c>
      <c r="D99" s="1" t="s">
        <v>56</v>
      </c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5" t="str">
        <f>IFERROR(IF(E99=ROUND(SUM(E105:E106),1)," "," Стр. 70, Гр. 1 [E99]  д.б. = [Окр(Сум(E105:E106),1)] {" &amp; ROUND(SUM(E105:E106),1) &amp; "}.")," ") &amp; IFERROR(IF(F99=ROUND(SUM(F105:F106),1)," "," Стр. 70, Гр. 2 [F99]  д.б. = [Окр(Сум(F105:F106),1)] {" &amp; ROUND(SUM(F105:F106),1) &amp; "}.")," ") &amp; IFERROR(IF(G99=ROUND(SUM(G105:G106),1)," "," Стр. 70, Гр. 3 [G99]  д.б. = [Окр(Сум(G105:G106),1)] {" &amp; ROUND(SUM(G105:G106),1) &amp; "}.")," ") &amp; IFERROR(IF(H99=ROUND(SUM(H105:H106),1)," "," Стр. 70, Гр. 4 [H99]  д.б. = [Окр(Сум(H105:H106),1)] {" &amp; ROUND(SUM(H105:H106),1) &amp; "}.")," ") &amp; IFERROR(IF(I99=ROUND(G103/G8*100,1)," "," Стр. 70, Гр. 5 [I99]  д.б. = [Окр(G103/G8*100,1)] {" &amp; ROUND(G103/G8*100,1) &amp; "}.")," ") &amp; IFERROR(IF(J99=ROUND(H103/H8*100,1)," "," Стр. 70, Гр. 6 [J99]  д.б. = [Окр(H103/H8*100,1)] {" &amp; ROUND(H103/H8*100,1) &amp; "}.")," ") &amp; IFERROR(IF(K99=ROUND(G103/E103*1000,1)," "," Стр. 70, Гр. 7 [K99]  д.б. = [Окр(G103/E103*1000,1)] {" &amp; ROUND(G103/E103*1000,1) &amp; "}.")," ") &amp; IFERROR(IF(L99=ROUND(H103/F103*1000,1)," "," Стр. 70, Гр. 8 [L99]  д.б. = [Окр(H103/F103*1000,1)] {" &amp; ROUND(H103/F103*1000,1) &amp; "}.")," ") &amp; IFERROR(IF(M99=ROUND(K103/L103*100,1)," "," Стр. 70, Гр. 9 [M99]  д.б. = [Окр(K103/L103*100,1)] {" &amp; ROUND(K103/L103*100,1) &amp; "}.")," ") &amp; IFERROR(IF(N99=ROUND(E103/F103*100,1)," "," Стр. 70, Гр. 10 [N99]  д.б. = [Окр(E103/F103*100,1)] {" &amp; ROUND(E103/F103*100,1) &amp; "}.")," ") &amp; IFERROR(IF(O99=ROUND(G103/H103*100,1)," "," Стр. 70, Гр. 11 [O99]  д.б. = [Окр(G103/H103*100,1)] {" &amp; ROUND(G103/H103*100,1) &amp; "}.")," ") &amp; IFERROR(IF(P99=ROUND(SUM(P105:P106),1)," "," Стр. 70, Гр. 12 [P99]  д.б. = [Окр(Сум(P105:P106),1)] {" &amp; ROUND(SUM(P105:P106),1) &amp; "}.")," ") &amp; IFERROR(IF(Q99=ROUND(SUM(Q105:Q106),1)," "," Стр. 70, Гр. 13 [Q99]  д.б. = [Окр(Сум(Q105:Q106),1)] {" &amp; ROUND(SUM(Q105:Q106),1) &amp; "}.")," ")</f>
        <v xml:space="preserve">             </v>
      </c>
    </row>
    <row r="100" spans="1:20" ht="45" customHeight="1" x14ac:dyDescent="0.25">
      <c r="A100" s="3" t="s">
        <v>57</v>
      </c>
      <c r="B100" s="1"/>
      <c r="C100" s="1" t="s">
        <v>1</v>
      </c>
      <c r="D100" s="1" t="s">
        <v>1</v>
      </c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</row>
    <row r="101" spans="1:20" ht="45" customHeight="1" x14ac:dyDescent="0.25">
      <c r="A101" s="3" t="s">
        <v>58</v>
      </c>
      <c r="B101" s="1" t="s">
        <v>174</v>
      </c>
      <c r="C101" s="1" t="s">
        <v>1</v>
      </c>
      <c r="D101" s="1" t="s">
        <v>1</v>
      </c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5" t="str">
        <f>IFERROR(IF(I101=ROUND(G105/G8*100,1)," "," Стр. 71, Гр. 5 [I101]  д.б. = [Окр(G105/G8*100,1)] {" &amp; ROUND(G105/G8*100,1) &amp; "}.")," ") &amp; IFERROR(IF(J101=ROUND(H105/H8*100,1)," "," Стр. 71, Гр. 6 [J101]  д.б. = [Окр(H105/H8*100,1)] {" &amp; ROUND(H105/H8*100,1) &amp; "}.")," ") &amp; IFERROR(IF(K101=ROUND(G105/E105*1000,1)," "," Стр. 71, Гр. 7 [K101]  д.б. = [Окр(G105/E105*1000,1)] {" &amp; ROUND(G105/E105*1000,1) &amp; "}.")," ") &amp; IFERROR(IF(L101=ROUND(H105/F105*1000,1)," "," Стр. 71, Гр. 8 [L101]  д.б. = [Окр(H105/F105*1000,1)] {" &amp; ROUND(H105/F105*1000,1) &amp; "}.")," ") &amp; IFERROR(IF(M101=ROUND(K105/L105*100,1)," "," Стр. 71, Гр. 9 [M101]  д.б. = [Окр(K105/L105*100,1)] {" &amp; ROUND(K105/L105*100,1) &amp; "}.")," ") &amp; IFERROR(IF(N101=ROUND(E105/F105*100,1)," "," Стр. 71, Гр. 10 [N101]  д.б. = [Окр(E105/F105*100,1)] {" &amp; ROUND(E105/F105*100,1) &amp; "}.")," ") &amp; IFERROR(IF(O101=ROUND(G105/H105*100,1)," "," Стр. 71, Гр. 11 [O101]  д.б. = [Окр(G105/H105*100,1)] {" &amp; ROUND(G105/H105*100,1) &amp; "}.")," ") &amp; IFERROR(IF(P101=ROUND(E105/E103*100,1)," "," Стр. 71, Гр. 12 [P101]  д.б. = [Окр(E105/E103*100,1)] {" &amp; ROUND(E105/E103*100,1) &amp; "}.")," ") &amp; IFERROR(IF(Q101=ROUND(F105/F103*100,1)," "," Стр. 71, Гр. 13 [Q101]  д.б. = [Окр(F105/F103*100,1)] {" &amp; ROUND(F105/F103*100,1) &amp; "}.")," ") &amp; IFERROR(IF(R101=ROUND(K105/K106*100,1)," "," Стр. 71, Гр. 14 [R101]  д.б. = [Окр(K105/K106*100,1)] {" &amp; ROUND(K105/K106*100,1) &amp; "}.")," ") &amp; IFERROR(IF(S101=ROUND(L105/L106*100,1)," "," Стр. 71, Гр. 15 [S101]  д.б. = [Окр(L105/L106*100,1)] {" &amp; ROUND(L105/L106*100,1) &amp; "}.")," ")</f>
        <v xml:space="preserve">           </v>
      </c>
    </row>
    <row r="102" spans="1:20" ht="45" customHeight="1" x14ac:dyDescent="0.25">
      <c r="A102" s="3" t="s">
        <v>60</v>
      </c>
      <c r="B102" s="1" t="s">
        <v>175</v>
      </c>
      <c r="C102" s="1" t="s">
        <v>1</v>
      </c>
      <c r="D102" s="1" t="s">
        <v>1</v>
      </c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5" t="str">
        <f>IFERROR(IF(I102=ROUND(G106/G9*100,1)," "," Стр. 72, Гр. 5 [I102]  д.б. = [Окр(G106/G9*100,1)] {" &amp; ROUND(G106/G9*100,1) &amp; "}.")," ") &amp; IFERROR(IF(J102=ROUND(H106/H9*100,1)," "," Стр. 72, Гр. 6 [J102]  д.б. = [Окр(H106/H9*100,1)] {" &amp; ROUND(H106/H9*100,1) &amp; "}.")," ") &amp; IFERROR(IF(K102=ROUND(G106/E106*1000,1)," "," Стр. 72, Гр. 7 [K102]  д.б. = [Окр(G106/E106*1000,1)] {" &amp; ROUND(G106/E106*1000,1) &amp; "}.")," ") &amp; IFERROR(IF(L102=ROUND(H106/F106*1000,1)," "," Стр. 72, Гр. 8 [L102]  д.б. = [Окр(H106/F106*1000,1)] {" &amp; ROUND(H106/F106*1000,1) &amp; "}.")," ") &amp; IFERROR(IF(M102=ROUND(K106/L106*100,1)," "," Стр. 72, Гр. 9 [M102]  д.б. = [Окр(K106/L106*100,1)] {" &amp; ROUND(K106/L106*100,1) &amp; "}.")," ") &amp; IFERROR(IF(N102=ROUND(E106/F106*100,1)," "," Стр. 72, Гр. 10 [N102]  д.б. = [Окр(E106/F106*100,1)] {" &amp; ROUND(E106/F106*100,1) &amp; "}.")," ") &amp; IFERROR(IF(O102=ROUND(G106/H106*100,1)," "," Стр. 72, Гр. 11 [O102]  д.б. = [Окр(G106/H106*100,1)] {" &amp; ROUND(G106/H106*100,1) &amp; "}.")," ") &amp; IFERROR(IF(P102=ROUND(E106/E103*100,1)," "," Стр. 72, Гр. 12 [P102]  д.б. = [Окр(E106/E103*100,1)] {" &amp; ROUND(E106/E103*100,1) &amp; "}.")," ") &amp; IFERROR(IF(Q102=ROUND(F106/F103*100,1)," "," Стр. 72, Гр. 13 [Q102]  д.б. = [Окр(F106/F103*100,1)] {" &amp; ROUND(F106/F103*100,1) &amp; "}.")," ") &amp; IFERROR(IF(R102=ROUND(K106/K105*100,1)," "," Стр. 72, Гр. 14 [R102]  д.б. = [Окр(K106/K105*100,1)] {" &amp; ROUND(K106/K105*100,1) &amp; "}.")," ") &amp; IFERROR(IF(S102=ROUND(L106/L105*100,1)," "," Стр. 72, Гр. 15 [S102]  д.б. = [Окр(L106/L105*100,1)] {" &amp; ROUND(L106/L105*100,1) &amp; "}.")," ")</f>
        <v xml:space="preserve">           </v>
      </c>
    </row>
    <row r="103" spans="1:20" ht="45" customHeight="1" x14ac:dyDescent="0.25">
      <c r="A103" s="3" t="s">
        <v>176</v>
      </c>
      <c r="B103" s="1" t="s">
        <v>177</v>
      </c>
      <c r="C103" s="1" t="s">
        <v>178</v>
      </c>
      <c r="D103" s="1" t="s">
        <v>56</v>
      </c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5" t="str">
        <f>IFERROR(IF(E103=ROUND(SUM(E109:E110),1)," "," Стр. 73, Гр. 1 [E103]  д.б. = [Окр(Сум(E109:E110),1)] {" &amp; ROUND(SUM(E109:E110),1) &amp; "}.")," ") &amp; IFERROR(IF(F103=ROUND(SUM(F109:F110),1)," "," Стр. 73, Гр. 2 [F103]  д.б. = [Окр(Сум(F109:F110),1)] {" &amp; ROUND(SUM(F109:F110),1) &amp; "}.")," ") &amp; IFERROR(IF(G103=ROUND(SUM(G109:G110),1)," "," Стр. 73, Гр. 3 [G103]  д.б. = [Окр(Сум(G109:G110),1)] {" &amp; ROUND(SUM(G109:G110),1) &amp; "}.")," ") &amp; IFERROR(IF(H103=ROUND(SUM(H109:H110),1)," "," Стр. 73, Гр. 4 [H103]  д.б. = [Окр(Сум(H109:H110),1)] {" &amp; ROUND(SUM(H109:H110),1) &amp; "}.")," ") &amp; IFERROR(IF(I103=ROUND(G107/G6,1)," "," Стр. 73, Гр. 5 [I103]  д.б. = [Окр(G107/G6,1)] {" &amp; ROUND(G107/G6,1) &amp; "}.")," ") &amp; IFERROR(IF(J103=ROUND(H107/H6,1)," "," Стр. 73, Гр. 6 [J103]  д.б. = [Окр(H107/H6,1)] {" &amp; ROUND(H107/H6,1) &amp; "}.")," ") &amp; IFERROR(IF(K103=ROUND(G107/E107*1000,1)," "," Стр. 73, Гр. 7 [K103]  д.б. = [Окр(G107/E107*1000,1)] {" &amp; ROUND(G107/E107*1000,1) &amp; "}.")," ") &amp; IFERROR(IF(L103=ROUND(H107/F107*1000,1)," "," Стр. 73, Гр. 8 [L103]  д.б. = [Окр(H107/F107*1000,1)] {" &amp; ROUND(H107/F107*1000,1) &amp; "}.")," ") &amp; IFERROR(IF(M103=ROUND(K107/L107*100,1)," "," Стр. 73, Гр. 9 [M103]  д.б. = [Окр(K107/L107*100,1)] {" &amp; ROUND(K107/L107*100,1) &amp; "}.")," ") &amp; IFERROR(IF(N103=ROUND(E107/F107*100,1)," "," Стр. 73, Гр. 10 [N103]  д.б. = [Окр(E107/F107*100,1)] {" &amp; ROUND(E107/F107*100,1) &amp; "}.")," ") &amp; IFERROR(IF(O103=ROUND(G107/H107*100,1)," "," Стр. 73, Гр. 11 [O103]  д.б. = [Окр(G107/H107*100,1)] {" &amp; ROUND(G107/H107*100,1) &amp; "}.")," ") &amp; IFERROR(IF(P103=ROUND(SUM(P109:P110),1)," "," Стр. 73, Гр. 12 [P103]  д.б. = [Окр(Сум(P109:P110),1)] {" &amp; ROUND(SUM(P109:P110),1) &amp; "}.")," ") &amp; IFERROR(IF(Q103=ROUND(SUM(Q109:Q110),1)," "," Стр. 73, Гр. 13 [Q103]  д.б. = [Окр(Сум(Q109:Q110),1)] {" &amp; ROUND(SUM(Q109:Q110),1) &amp; "}.")," ")</f>
        <v xml:space="preserve">             </v>
      </c>
    </row>
    <row r="104" spans="1:20" ht="45" customHeight="1" x14ac:dyDescent="0.25">
      <c r="A104" s="3" t="s">
        <v>138</v>
      </c>
      <c r="B104" s="1"/>
      <c r="C104" s="1" t="s">
        <v>1</v>
      </c>
      <c r="D104" s="1" t="s">
        <v>1</v>
      </c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3"/>
      <c r="S104" s="63"/>
    </row>
    <row r="105" spans="1:20" ht="45" customHeight="1" x14ac:dyDescent="0.25">
      <c r="A105" s="3" t="s">
        <v>139</v>
      </c>
      <c r="B105" s="1" t="s">
        <v>179</v>
      </c>
      <c r="C105" s="1" t="s">
        <v>1</v>
      </c>
      <c r="D105" s="1" t="s">
        <v>1</v>
      </c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5" t="str">
        <f>IFERROR(IF(I105=ROUND(G109/G8*100,1)," "," Стр. 74, Гр. 5 [I105]  д.б. = [Окр(G109/G8*100,1)] {" &amp; ROUND(G109/G8*100,1) &amp; "}.")," ") &amp; IFERROR(IF(J105=ROUND(H109/H8*100,1)," "," Стр. 74, Гр. 6 [J105]  д.б. = [Окр(H109/H8*100,1)] {" &amp; ROUND(H109/H8*100,1) &amp; "}.")," ") &amp; IFERROR(IF(K105=ROUND(G109/E109*1000,1)," "," Стр. 74, Гр. 7 [K105]  д.б. = [Окр(G109/E109*1000,1)] {" &amp; ROUND(G109/E109*1000,1) &amp; "}.")," ") &amp; IFERROR(IF(L105=ROUND(H109/F109*1000,1)," "," Стр. 74, Гр. 8 [L105]  д.б. = [Окр(H109/F109*1000,1)] {" &amp; ROUND(H109/F109*1000,1) &amp; "}.")," ") &amp; IFERROR(IF(M105=ROUND(K109/L109*100,1)," "," Стр. 74, Гр. 9 [M105]  д.б. = [Окр(K109/L109*100,1)] {" &amp; ROUND(K109/L109*100,1) &amp; "}.")," ") &amp; IFERROR(IF(N105=ROUND(E109/F109*100,1)," "," Стр. 74, Гр. 10 [N105]  д.б. = [Окр(E109/F109*100,1)] {" &amp; ROUND(E109/F109*100,1) &amp; "}.")," ") &amp; IFERROR(IF(O105=ROUND(G109/H109*100,1)," "," Стр. 74, Гр. 11 [O105]  д.б. = [Окр(G109/H109*100,1)] {" &amp; ROUND(G109/H109*100,1) &amp; "}.")," ") &amp; IFERROR(IF(P105=ROUND(E109/E107*100,1)," "," Стр. 74, Гр. 12 [P105]  д.б. = [Окр(E109/E107*100,1)] {" &amp; ROUND(E109/E107*100,1) &amp; "}.")," ") &amp; IFERROR(IF(Q105=ROUND(F109/F107*100,1)," "," Стр. 74, Гр. 13 [Q105]  д.б. = [Окр(F109/F107*100,1)] {" &amp; ROUND(F109/F107*100,1) &amp; "}.")," ") &amp; IFERROR(IF(R105=ROUND(K109/K110*100,1)," "," Стр. 74, Гр. 14 [R105]  д.б. = [Окр(K109/K110*100,1)] {" &amp; ROUND(K109/K110*100,1) &amp; "}.")," ") &amp; IFERROR(IF(S105=ROUND(L109/L110*100,1)," "," Стр. 74, Гр. 15 [S105]  д.б. = [Окр(L109/L110*100,1)] {" &amp; ROUND(L109/L110*100,1) &amp; "}.")," ")</f>
        <v xml:space="preserve">           </v>
      </c>
    </row>
    <row r="106" spans="1:20" ht="45" customHeight="1" x14ac:dyDescent="0.25">
      <c r="A106" s="3" t="s">
        <v>141</v>
      </c>
      <c r="B106" s="1" t="s">
        <v>180</v>
      </c>
      <c r="C106" s="1" t="s">
        <v>1</v>
      </c>
      <c r="D106" s="1" t="s">
        <v>1</v>
      </c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5" t="str">
        <f>IFERROR(IF(I106=ROUND(G110/G9*100,1)," "," Стр. 75, Гр. 5 [I106]  д.б. = [Окр(G110/G9*100,1)] {" &amp; ROUND(G110/G9*100,1) &amp; "}.")," ") &amp; IFERROR(IF(J106=ROUND(H110/H9*100,1)," "," Стр. 75, Гр. 6 [J106]  д.б. = [Окр(H110/H9*100,1)] {" &amp; ROUND(H110/H9*100,1) &amp; "}.")," ") &amp; IFERROR(IF(K106=ROUND(G110/E110*1000,1)," "," Стр. 75, Гр. 7 [K106]  д.б. = [Окр(G110/E110*1000,1)] {" &amp; ROUND(G110/E110*1000,1) &amp; "}.")," ") &amp; IFERROR(IF(L106=ROUND(H110/F110*1000,1)," "," Стр. 75, Гр. 8 [L106]  д.б. = [Окр(H110/F110*1000,1)] {" &amp; ROUND(H110/F110*1000,1) &amp; "}.")," ") &amp; IFERROR(IF(M106=ROUND(K110/L110*100,1)," "," Стр. 75, Гр. 9 [M106]  д.б. = [Окр(K110/L110*100,1)] {" &amp; ROUND(K110/L110*100,1) &amp; "}.")," ") &amp; IFERROR(IF(N106=ROUND(E110/F110*100,1)," "," Стр. 75, Гр. 10 [N106]  д.б. = [Окр(E110/F110*100,1)] {" &amp; ROUND(E110/F110*100,1) &amp; "}.")," ") &amp; IFERROR(IF(O106=ROUND(G110/H110*100,1)," "," Стр. 75, Гр. 11 [O106]  д.б. = [Окр(G110/H110*100,1)] {" &amp; ROUND(G110/H110*100,1) &amp; "}.")," ") &amp; IFERROR(IF(P106=ROUND(E110/E107*100,1)," "," Стр. 75, Гр. 12 [P106]  д.б. = [Окр(E110/E107*100,1)] {" &amp; ROUND(E110/E107*100,1) &amp; "}.")," ") &amp; IFERROR(IF(Q106=ROUND(F110/F107*100,1)," "," Стр. 75, Гр. 13 [Q106]  д.б. = [Окр(F110/F107*100,1)] {" &amp; ROUND(F110/F107*100,1) &amp; "}.")," ") &amp; IFERROR(IF(R106=ROUND(K110/K109*100,1)," "," Стр. 75, Гр. 14 [R106]  д.б. = [Окр(K110/K109*100,1)] {" &amp; ROUND(K110/K109*100,1) &amp; "}.")," ") &amp; IFERROR(IF(S106=ROUND(L109/L110*100,1)," "," Стр. 75, Гр. 15 [S106]  д.б. = [Окр(L109/L110*100,1)] {" &amp; ROUND(L109/L110*100,1) &amp; "}.")," ")</f>
        <v xml:space="preserve">           </v>
      </c>
    </row>
    <row r="107" spans="1:20" ht="45" customHeight="1" x14ac:dyDescent="0.25">
      <c r="A107" s="3" t="s">
        <v>181</v>
      </c>
      <c r="B107" s="1" t="s">
        <v>182</v>
      </c>
      <c r="C107" s="1" t="s">
        <v>178</v>
      </c>
      <c r="D107" s="1" t="s">
        <v>56</v>
      </c>
      <c r="E107" s="11"/>
      <c r="F107" s="11"/>
      <c r="G107" s="11"/>
      <c r="H107" s="11"/>
      <c r="I107" s="17"/>
      <c r="J107" s="18"/>
      <c r="K107" s="19"/>
      <c r="L107" s="20"/>
      <c r="M107" s="21"/>
      <c r="N107" s="22"/>
      <c r="O107" s="23"/>
      <c r="P107" s="24"/>
      <c r="Q107" s="25"/>
      <c r="R107" s="11"/>
      <c r="S107" s="11"/>
    </row>
    <row r="108" spans="1:20" ht="45" customHeight="1" x14ac:dyDescent="0.25">
      <c r="A108" s="3" t="s">
        <v>138</v>
      </c>
      <c r="B108" s="1"/>
      <c r="C108" s="1" t="s">
        <v>1</v>
      </c>
      <c r="D108" s="1" t="s">
        <v>1</v>
      </c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  <c r="Q108" s="63"/>
      <c r="R108" s="63"/>
      <c r="S108" s="63"/>
    </row>
    <row r="109" spans="1:20" ht="45" customHeight="1" x14ac:dyDescent="0.25">
      <c r="A109" s="3" t="s">
        <v>139</v>
      </c>
      <c r="B109" s="1" t="s">
        <v>183</v>
      </c>
      <c r="C109" s="1" t="s">
        <v>1</v>
      </c>
      <c r="D109" s="1" t="s">
        <v>1</v>
      </c>
      <c r="E109" s="11"/>
      <c r="F109" s="11"/>
      <c r="G109" s="11"/>
      <c r="H109" s="11"/>
      <c r="I109" s="26"/>
      <c r="J109" s="27"/>
      <c r="K109" s="28"/>
      <c r="L109" s="29"/>
      <c r="M109" s="30"/>
      <c r="N109" s="31"/>
      <c r="O109" s="32"/>
      <c r="P109" s="33"/>
      <c r="Q109" s="34"/>
      <c r="R109" s="35"/>
      <c r="S109" s="36"/>
    </row>
    <row r="110" spans="1:20" ht="45" customHeight="1" x14ac:dyDescent="0.25">
      <c r="A110" s="3" t="s">
        <v>141</v>
      </c>
      <c r="B110" s="1" t="s">
        <v>184</v>
      </c>
      <c r="C110" s="1" t="s">
        <v>1</v>
      </c>
      <c r="D110" s="1" t="s">
        <v>1</v>
      </c>
      <c r="E110" s="11"/>
      <c r="F110" s="11"/>
      <c r="G110" s="11"/>
      <c r="H110" s="11"/>
      <c r="I110" s="37"/>
      <c r="J110" s="38"/>
      <c r="K110" s="39"/>
      <c r="L110" s="40"/>
      <c r="M110" s="41"/>
      <c r="N110" s="42"/>
      <c r="O110" s="43"/>
      <c r="P110" s="44"/>
      <c r="Q110" s="45"/>
      <c r="R110" s="46"/>
      <c r="S110" s="47"/>
    </row>
    <row r="111" spans="1:20" ht="45" customHeight="1" x14ac:dyDescent="0.25">
      <c r="A111" s="3" t="s">
        <v>185</v>
      </c>
      <c r="B111" s="1" t="s">
        <v>186</v>
      </c>
      <c r="C111" s="1" t="s">
        <v>187</v>
      </c>
      <c r="D111" s="1" t="s">
        <v>188</v>
      </c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5" t="str">
        <f>IFERROR(IF(E111=ROUND(SUM(E117:E118),1)," "," Стр. 79, Гр. 1 [E111]  д.б. = [Окр(Сум(E117:E118),1)] {" &amp; ROUND(SUM(E117:E118),1) &amp; "}.")," ") &amp; IFERROR(IF(F111=ROUND(SUM(F117:F118),1)," "," Стр. 79, Гр. 2 [F111]  д.б. = [Окр(Сум(F117:F118),1)] {" &amp; ROUND(SUM(F117:F118),1) &amp; "}.")," ") &amp; IFERROR(IF(G111=ROUND(SUM(G117:G118),1)," "," Стр. 79, Гр. 3 [G111]  д.б. = [Окр(Сум(G117:G118),1)] {" &amp; ROUND(SUM(G117:G118),1) &amp; "}.")," ") &amp; IFERROR(IF(H111=ROUND(SUM(H117:H118),1)," "," Стр. 79, Гр. 4 [H111]  д.б. = [Окр(Сум(H117:H118),1)] {" &amp; ROUND(SUM(H117:H118),1) &amp; "}.")," ") &amp; IFERROR(IF(I111=ROUND(G115/G6*100,1)," "," Стр. 79, Гр. 5 [I111]  д.б. = [Окр(G115/G6*100,1)] {" &amp; ROUND(G115/G6*100,1) &amp; "}.")," ") &amp; IFERROR(IF(J111=ROUND(H115/H6*100,1)," "," Стр. 79, Гр. 6 [J111]  д.б. = [Окр(H115/H6*100,1)] {" &amp; ROUND(H115/H6*100,1) &amp; "}.")," ") &amp; IFERROR(IF(K111=ROUND(G115/E115*1000,1)," "," Стр. 79, Гр. 7 [K111]  д.б. = [Окр(G115/E115*1000,1)] {" &amp; ROUND(G115/E115*1000,1) &amp; "}.")," ") &amp; IFERROR(IF(L111=ROUND(H115/F115*1000,1)," "," Стр. 79, Гр. 8 [L111]  д.б. = [Окр(H115/F115*1000,1)] {" &amp; ROUND(H115/F115*1000,1) &amp; "}.")," ") &amp; IFERROR(IF(M111=ROUND(K115/L115*100,1)," "," Стр. 79, Гр. 9 [M111]  д.б. = [Окр(K115/L115*100,1)] {" &amp; ROUND(K115/L115*100,1) &amp; "}.")," ") &amp; IFERROR(IF(N111=ROUND(E115/F115*100,1)," "," Стр. 79, Гр. 10 [N111]  д.б. = [Окр(E115/F115*100,1)] {" &amp; ROUND(E115/F115*100,1) &amp; "}.")," ") &amp; IFERROR(IF(O111=ROUND(G115/H115*100,1)," "," Стр. 79, Гр. 11 [O111]  д.б. = [Окр(G115/H115*100,1)] {" &amp; ROUND(G115/H115*100,1) &amp; "}.")," ") &amp; IFERROR(IF(P111=ROUND(SUM(P117:P118),1)," "," Стр. 79, Гр. 12 [P111]  д.б. = [Окр(Сум(P117:P118),1)] {" &amp; ROUND(SUM(P117:P118),1) &amp; "}.")," ") &amp; IFERROR(IF(Q111=ROUND(SUM(Q117:Q118),1)," "," Стр. 79, Гр. 13 [Q111]  д.б. = [Окр(Сум(Q117:Q118),1)] {" &amp; ROUND(SUM(Q117:Q118),1) &amp; "}.")," ")</f>
        <v xml:space="preserve">             </v>
      </c>
    </row>
    <row r="112" spans="1:20" ht="45" customHeight="1" x14ac:dyDescent="0.25">
      <c r="A112" s="3" t="s">
        <v>57</v>
      </c>
      <c r="B112" s="1"/>
      <c r="C112" s="1" t="s">
        <v>1</v>
      </c>
      <c r="D112" s="1" t="s">
        <v>1</v>
      </c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  <c r="Q112" s="63"/>
      <c r="R112" s="63"/>
      <c r="S112" s="63"/>
    </row>
    <row r="113" spans="1:20" ht="45" customHeight="1" x14ac:dyDescent="0.25">
      <c r="A113" s="3" t="s">
        <v>58</v>
      </c>
      <c r="B113" s="1" t="s">
        <v>189</v>
      </c>
      <c r="C113" s="1" t="s">
        <v>1</v>
      </c>
      <c r="D113" s="1" t="s">
        <v>1</v>
      </c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5" t="str">
        <f>IFERROR(IF(I113=ROUND(G117/G8*100,1)," "," Стр. 80, Гр. 5 [I113]  д.б. = [Окр(G117/G8*100,1)] {" &amp; ROUND(G117/G8*100,1) &amp; "}.")," ") &amp; IFERROR(IF(J113=ROUND(H117/H8*100,1)," "," Стр. 80, Гр. 6 [J113]  д.б. = [Окр(H117/H8*100,1)] {" &amp; ROUND(H117/H8*100,1) &amp; "}.")," ") &amp; IFERROR(IF(K113=ROUND(G117/E117*1000,1)," "," Стр. 80, Гр. 7 [K113]  д.б. = [Окр(G117/E117*1000,1)] {" &amp; ROUND(G117/E117*1000,1) &amp; "}.")," ") &amp; IFERROR(IF(L113=ROUND(H117/F117*1000,1)," "," Стр. 80, Гр. 8 [L113]  д.б. = [Окр(H117/F117*1000,1)] {" &amp; ROUND(H117/F117*1000,1) &amp; "}.")," ") &amp; IFERROR(IF(M113=ROUND(K117/L117*100,1)," "," Стр. 80, Гр. 9 [M113]  д.б. = [Окр(K117/L117*100,1)] {" &amp; ROUND(K117/L117*100,1) &amp; "}.")," ") &amp; IFERROR(IF(N113=ROUND(E117/F117*100,1)," "," Стр. 80, Гр. 10 [N113]  д.б. = [Окр(E117/F117*100,1)] {" &amp; ROUND(E117/F117*100,1) &amp; "}.")," ") &amp; IFERROR(IF(O113=ROUND(G117/H117*100,1)," "," Стр. 80, Гр. 11 [O113]  д.б. = [Окр(G117/H117*100,1)] {" &amp; ROUND(G117/H117*100,1) &amp; "}.")," ") &amp; IFERROR(IF(P113=ROUND(E117/E115*100,1)," "," Стр. 80, Гр. 12 [P113]  д.б. = [Окр(E117/E115*100,1)] {" &amp; ROUND(E117/E115*100,1) &amp; "}.")," ") &amp; IFERROR(IF(Q113=ROUND(F117/F115*100,1)," "," Стр. 80, Гр. 13 [Q113]  д.б. = [Окр(F117/F115*100,1)] {" &amp; ROUND(F117/F115*100,1) &amp; "}.")," ") &amp; IFERROR(IF(R113=ROUND(K117/K118*100,1)," "," Стр. 80, Гр. 14 [R113]  д.б. = [Окр(K117/K118*100,1)] {" &amp; ROUND(K117/K118*100,1) &amp; "}.")," ") &amp; IFERROR(IF(S113=ROUND(L117/L118*100,1)," "," Стр. 80, Гр. 15 [S113]  д.б. = [Окр(L117/L118*100,1)] {" &amp; ROUND(L117/L118*100,1) &amp; "}.")," ")</f>
        <v xml:space="preserve">           </v>
      </c>
    </row>
    <row r="114" spans="1:20" ht="45" customHeight="1" x14ac:dyDescent="0.25">
      <c r="A114" s="3" t="s">
        <v>60</v>
      </c>
      <c r="B114" s="1" t="s">
        <v>190</v>
      </c>
      <c r="C114" s="1" t="s">
        <v>1</v>
      </c>
      <c r="D114" s="1" t="s">
        <v>1</v>
      </c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5" t="str">
        <f>IFERROR(IF(I114=ROUND(G118/G9*100,1)," "," Стр. 81, Гр. 5 [I114]  д.б. = [Окр(G118/G9*100,1)] {" &amp; ROUND(G118/G9*100,1) &amp; "}.")," ") &amp; IFERROR(IF(J114=ROUND(H118/H9*100,1)," "," Стр. 81, Гр. 6 [J114]  д.б. = [Окр(H118/H9*100,1)] {" &amp; ROUND(H118/H9*100,1) &amp; "}.")," ") &amp; IFERROR(IF(K114=ROUND(G118/E118*1000,1)," "," Стр. 81, Гр. 7 [K114]  д.б. = [Окр(G118/E118*1000,1)] {" &amp; ROUND(G118/E118*1000,1) &amp; "}.")," ") &amp; IFERROR(IF(L114=ROUND(H118/F118*1000,1)," "," Стр. 81, Гр. 8 [L114]  д.б. = [Окр(H118/F118*1000,1)] {" &amp; ROUND(H118/F118*1000,1) &amp; "}.")," ") &amp; IFERROR(IF(M114=ROUND(K118/L118*100,1)," "," Стр. 81, Гр. 9 [M114]  д.б. = [Окр(K118/L118*100,1)] {" &amp; ROUND(K118/L118*100,1) &amp; "}.")," ") &amp; IFERROR(IF(N114=ROUND(E118/F118*100,1)," "," Стр. 81, Гр. 10 [N114]  д.б. = [Окр(E118/F118*100,1)] {" &amp; ROUND(E118/F118*100,1) &amp; "}.")," ") &amp; IFERROR(IF(O114=ROUND(G118/H118*100,1)," "," Стр. 81, Гр. 11 [O114]  д.б. = [Окр(G118/H118*100,1)] {" &amp; ROUND(G118/H118*100,1) &amp; "}.")," ") &amp; IFERROR(IF(P114=ROUND(E118/E115*100,1)," "," Стр. 81, Гр. 12 [P114]  д.б. = [Окр(E118/E115*100,1)] {" &amp; ROUND(E118/E115*100,1) &amp; "}.")," ") &amp; IFERROR(IF(Q114=ROUND(F118/F115*100,1)," "," Стр. 81, Гр. 13 [Q114]  д.б. = [Окр(F118/F115*100,1)] {" &amp; ROUND(F118/F115*100,1) &amp; "}.")," ") &amp; IFERROR(IF(R114=ROUND(K118/K117*100,1)," "," Стр. 81, Гр. 14 [R114]  д.б. = [Окр(K118/K117*100,1)] {" &amp; ROUND(K118/K117*100,1) &amp; "}.")," ") &amp; IFERROR(IF(S114=ROUND(L118/L117*100,1)," "," Стр. 81, Гр. 15 [S114]  д.б. = [Окр(L118/L117*100,1)] {" &amp; ROUND(L118/L117*100,1) &amp; "}.")," ")</f>
        <v xml:space="preserve">           </v>
      </c>
    </row>
    <row r="115" spans="1:20" ht="45" customHeight="1" x14ac:dyDescent="0.25">
      <c r="A115" s="3" t="s">
        <v>191</v>
      </c>
      <c r="B115" s="1" t="s">
        <v>192</v>
      </c>
      <c r="C115" s="1" t="s">
        <v>193</v>
      </c>
      <c r="D115" s="1" t="s">
        <v>56</v>
      </c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5" t="str">
        <f>IFERROR(IF(E115=ROUND(SUM(E121:E122),1)," "," Стр. 82, Гр. 1 [E115]  д.б. = [Окр(Сум(E121:E122),1)] {" &amp; ROUND(SUM(E121:E122),1) &amp; "}.")," ") &amp; IFERROR(IF(F115=ROUND(SUM(F121:F122),1)," "," Стр. 82, Гр. 2 [F115]  д.б. = [Окр(Сум(F121:F122),1)] {" &amp; ROUND(SUM(F121:F122),1) &amp; "}.")," ") &amp; IFERROR(IF(G115=ROUND(SUM(G121:G122),1)," "," Стр. 82, Гр. 3 [G115]  д.б. = [Окр(Сум(G121:G122),1)] {" &amp; ROUND(SUM(G121:G122),1) &amp; "}.")," ") &amp; IFERROR(IF(H115=ROUND(SUM(H121:H122),1)," "," Стр. 82, Гр. 4 [H115]  д.б. = [Окр(Сум(H121:H122),1)] {" &amp; ROUND(SUM(H121:H122),1) &amp; "}.")," ") &amp; IFERROR(IF(I115=ROUND(G119/G6*100,1)," "," Стр. 82, Гр. 5 [I115]  д.б. = [Окр(G119/G6*100,1)] {" &amp; ROUND(G119/G6*100,1) &amp; "}.")," ") &amp; IFERROR(IF(J115=ROUND(H119/H6*100,1)," "," Стр. 82, Гр. 6 [J115]  д.б. = [Окр(H119/H6*100,1)] {" &amp; ROUND(H119/H6*100,1) &amp; "}.")," ") &amp; IFERROR(IF(K115=ROUND(G119/E119*1000,1)," "," Стр. 82, Гр. 7 [K115]  д.б. = [Окр(G119/E119*1000,1)] {" &amp; ROUND(G119/E119*1000,1) &amp; "}.")," ") &amp; IFERROR(IF(L115=ROUND(H119/F119*1000,1)," "," Стр. 82, Гр. 8 [L115]  д.б. = [Окр(H119/F119*1000,1)] {" &amp; ROUND(H119/F119*1000,1) &amp; "}.")," ") &amp; IFERROR(IF(M115=ROUND(K119/L119*100,1)," "," Стр. 82, Гр. 9 [M115]  д.б. = [Окр(K119/L119*100,1)] {" &amp; ROUND(K119/L119*100,1) &amp; "}.")," ") &amp; IFERROR(IF(N115=ROUND(E119/F119*100,1)," "," Стр. 82, Гр. 10 [N115]  д.б. = [Окр(E119/F119*100,1)] {" &amp; ROUND(E119/F119*100,1) &amp; "}.")," ") &amp; IFERROR(IF(O115=ROUND(G119/H119*100,1)," "," Стр. 82, Гр. 11 [O115]  д.б. = [Окр(G119/H119*100,1)] {" &amp; ROUND(G119/H119*100,1) &amp; "}.")," ") &amp; IFERROR(IF(P115=ROUND(SUM(P121:P122),1)," "," Стр. 82, Гр. 12 [P115]  д.б. = [Окр(Сум(P121:P122),1)] {" &amp; ROUND(SUM(P121:P122),1) &amp; "}.")," ") &amp; IFERROR(IF(Q115=ROUND(SUM(Q121:Q122),1)," "," Стр. 82, Гр. 13 [Q115]  д.б. = [Окр(Сум(Q121:Q122),1)] {" &amp; ROUND(SUM(Q121:Q122),1) &amp; "}.")," ")</f>
        <v xml:space="preserve">             </v>
      </c>
    </row>
    <row r="116" spans="1:20" ht="45" customHeight="1" x14ac:dyDescent="0.25">
      <c r="A116" s="3" t="s">
        <v>57</v>
      </c>
      <c r="B116" s="1"/>
      <c r="C116" s="1" t="s">
        <v>1</v>
      </c>
      <c r="D116" s="1" t="s">
        <v>1</v>
      </c>
      <c r="E116" s="63"/>
      <c r="F116" s="63"/>
      <c r="G116" s="63"/>
      <c r="H116" s="63"/>
      <c r="I116" s="63"/>
      <c r="J116" s="63"/>
      <c r="K116" s="63"/>
      <c r="L116" s="63"/>
      <c r="M116" s="63"/>
      <c r="N116" s="63"/>
      <c r="O116" s="63"/>
      <c r="P116" s="63"/>
      <c r="Q116" s="63"/>
      <c r="R116" s="63"/>
      <c r="S116" s="63"/>
    </row>
    <row r="117" spans="1:20" ht="45" customHeight="1" x14ac:dyDescent="0.25">
      <c r="A117" s="3" t="s">
        <v>58</v>
      </c>
      <c r="B117" s="1" t="s">
        <v>194</v>
      </c>
      <c r="C117" s="1" t="s">
        <v>1</v>
      </c>
      <c r="D117" s="1" t="s">
        <v>1</v>
      </c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5" t="str">
        <f>IFERROR(IF(I117=ROUND(G121/G8*100,1)," "," Стр. 83, Гр. 5 [I117]  д.б. = [Окр(G121/G8*100,1)] {" &amp; ROUND(G121/G8*100,1) &amp; "}.")," ") &amp; IFERROR(IF(J117=ROUND(H121/H8*100,1)," "," Стр. 83, Гр. 6 [J117]  д.б. = [Окр(H121/H8*100,1)] {" &amp; ROUND(H121/H8*100,1) &amp; "}.")," ") &amp; IFERROR(IF(K117=ROUND(G121/E121*1000,1)," "," Стр. 83, Гр. 7 [K117]  д.б. = [Окр(G121/E121*1000,1)] {" &amp; ROUND(G121/E121*1000,1) &amp; "}.")," ") &amp; IFERROR(IF(L117=ROUND(H121/F121*1000,1)," "," Стр. 83, Гр. 8 [L117]  д.б. = [Окр(H121/F121*1000,1)] {" &amp; ROUND(H121/F121*1000,1) &amp; "}.")," ") &amp; IFERROR(IF(M117=ROUND(K121/L121*100,1)," "," Стр. 83, Гр. 9 [M117]  д.б. = [Окр(K121/L121*100,1)] {" &amp; ROUND(K121/L121*100,1) &amp; "}.")," ") &amp; IFERROR(IF(N117=ROUND(E121/F121*100,1)," "," Стр. 83, Гр. 10 [N117]  д.б. = [Окр(E121/F121*100,1)] {" &amp; ROUND(E121/F121*100,1) &amp; "}.")," ") &amp; IFERROR(IF(O117=ROUND(G121/H121*100,1)," "," Стр. 83, Гр. 11 [O117]  д.б. = [Окр(G121/H121*100,1)] {" &amp; ROUND(G121/H121*100,1) &amp; "}.")," ") &amp; IFERROR(IF(P117=ROUND(E121/E119*100,1)," "," Стр. 83, Гр. 12 [P117]  д.б. = [Окр(E121/E119*100,1)] {" &amp; ROUND(E121/E119*100,1) &amp; "}.")," ") &amp; IFERROR(IF(Q117=ROUND(F121/F119*100,1)," "," Стр. 83, Гр. 13 [Q117]  д.б. = [Окр(F121/F119*100,1)] {" &amp; ROUND(F121/F119*100,1) &amp; "}.")," ") &amp; IFERROR(IF(R117=ROUND(K121/K122*100,1)," "," Стр. 83, Гр. 14 [R117]  д.б. = [Окр(K121/K122*100,1)] {" &amp; ROUND(K121/K122*100,1) &amp; "}.")," ") &amp; IFERROR(IF(S117=ROUND(L121/L122*100,1)," "," Стр. 83, Гр. 15 [S117]  д.б. = [Окр(L121/L122*100,1)] {" &amp; ROUND(L121/L122*100,1) &amp; "}.")," ")</f>
        <v xml:space="preserve">           </v>
      </c>
    </row>
    <row r="118" spans="1:20" ht="45" customHeight="1" x14ac:dyDescent="0.25">
      <c r="A118" s="3" t="s">
        <v>60</v>
      </c>
      <c r="B118" s="1" t="s">
        <v>195</v>
      </c>
      <c r="C118" s="1" t="s">
        <v>1</v>
      </c>
      <c r="D118" s="1" t="s">
        <v>1</v>
      </c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5" t="str">
        <f>IFERROR(IF(I118=ROUND(G122/G9*100,1)," "," Стр. 84, Гр. 5 [I118]  д.б. = [Окр(G122/G9*100,1)] {" &amp; ROUND(G122/G9*100,1) &amp; "}.")," ") &amp; IFERROR(IF(J118=ROUND(H122/H9*100,1)," "," Стр. 84, Гр. 6 [J118]  д.б. = [Окр(H122/H9*100,1)] {" &amp; ROUND(H122/H9*100,1) &amp; "}.")," ") &amp; IFERROR(IF(K118=ROUND(G122/E122*1000,1)," "," Стр. 84, Гр. 7 [K118]  д.б. = [Окр(G122/E122*1000,1)] {" &amp; ROUND(G122/E122*1000,1) &amp; "}.")," ") &amp; IFERROR(IF(L118=ROUND(H122/F122*1000,1)," "," Стр. 84, Гр. 8 [L118]  д.б. = [Окр(H122/F122*1000,1)] {" &amp; ROUND(H122/F122*1000,1) &amp; "}.")," ") &amp; IFERROR(IF(M118=ROUND(K122/L122*100,1)," "," Стр. 84, Гр. 9 [M118]  д.б. = [Окр(K122/L122*100,1)] {" &amp; ROUND(K122/L122*100,1) &amp; "}.")," ") &amp; IFERROR(IF(N118=ROUND(E122/F122*100,1)," "," Стр. 84, Гр. 10 [N118]  д.б. = [Окр(E122/F122*100,1)] {" &amp; ROUND(E122/F122*100,1) &amp; "}.")," ") &amp; IFERROR(IF(O118=ROUND(G122/H122*100,1)," "," Стр. 84, Гр. 11 [O118]  д.б. = [Окр(G122/H122*100,1)] {" &amp; ROUND(G122/H122*100,1) &amp; "}.")," ") &amp; IFERROR(IF(P118=ROUND(E122/E119*100,1)," "," Стр. 84, Гр. 12 [P118]  д.б. = [Окр(E122/E119*100,1)] {" &amp; ROUND(E122/E119*100,1) &amp; "}.")," ") &amp; IFERROR(IF(Q118=ROUND(F122/F119*100,1)," "," Стр. 84, Гр. 13 [Q118]  д.б. = [Окр(F122/F119*100,1)] {" &amp; ROUND(F122/F119*100,1) &amp; "}.")," ") &amp; IFERROR(IF(R118=ROUND(K122/K121*100,1)," "," Стр. 84, Гр. 14 [R118]  д.б. = [Окр(K122/K121*100,1)] {" &amp; ROUND(K122/K121*100,1) &amp; "}.")," ") &amp; IFERROR(IF(S118=ROUND(L122/L121*100,1)," "," Стр. 84, Гр. 15 [S118]  д.б. = [Окр(L122/L121*100,1)] {" &amp; ROUND(L122/L121*100,1) &amp; "}.")," ")</f>
        <v xml:space="preserve">           </v>
      </c>
    </row>
    <row r="119" spans="1:20" ht="45" customHeight="1" x14ac:dyDescent="0.25">
      <c r="A119" s="3" t="s">
        <v>196</v>
      </c>
      <c r="B119" s="1" t="s">
        <v>197</v>
      </c>
      <c r="C119" s="1" t="s">
        <v>198</v>
      </c>
      <c r="D119" s="1" t="s">
        <v>56</v>
      </c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5" t="str">
        <f>IFERROR(IF(E119=ROUND(SUM(E125:E126),1)," "," Стр. 85, Гр. 1 [E119]  д.б. = [Окр(Сум(E125:E126),1)] {" &amp; ROUND(SUM(E125:E126),1) &amp; "}.")," ") &amp; IFERROR(IF(F119=ROUND(SUM(F125:F126),1)," "," Стр. 85, Гр. 2 [F119]  д.б. = [Окр(Сум(F125:F126),1)] {" &amp; ROUND(SUM(F125:F126),1) &amp; "}.")," ") &amp; IFERROR(IF(G119=ROUND(SUM(G125:G126),1)," "," Стр. 85, Гр. 3 [G119]  д.б. = [Окр(Сум(G125:G126),1)] {" &amp; ROUND(SUM(G125:G126),1) &amp; "}.")," ") &amp; IFERROR(IF(H119=ROUND(SUM(H125:H126),1)," "," Стр. 85, Гр. 4 [H119]  д.б. = [Окр(Сум(H125:H126),1)] {" &amp; ROUND(SUM(H125:H126),1) &amp; "}.")," ") &amp; IFERROR(IF(I119=ROUND(G123/G6*100,1)," "," Стр. 85, Гр. 5 [I119]  д.б. = [Окр(G123/G6*100,1)] {" &amp; ROUND(G123/G6*100,1) &amp; "}.")," ") &amp; IFERROR(IF(J119=ROUND(H123/H6*100,1)," "," Стр. 85, Гр. 6 [J119]  д.б. = [Окр(H123/H6*100,1)] {" &amp; ROUND(H123/H6*100,1) &amp; "}.")," ") &amp; IFERROR(IF(K119=ROUND(G123/E123*1000,1)," "," Стр. 85, Гр. 7 [K119]  д.б. = [Окр(G123/E123*1000,1)] {" &amp; ROUND(G123/E123*1000,1) &amp; "}.")," ") &amp; IFERROR(IF(L119=ROUND(H123/F123*1000,1)," "," Стр. 85, Гр. 8 [L119]  д.б. = [Окр(H123/F123*1000,1)] {" &amp; ROUND(H123/F123*1000,1) &amp; "}.")," ") &amp; IFERROR(IF(M119=ROUND(K123/L123*100,1)," "," Стр. 85, Гр. 9 [M119]  д.б. = [Окр(K123/L123*100,1)] {" &amp; ROUND(K123/L123*100,1) &amp; "}.")," ") &amp; IFERROR(IF(N119=ROUND(E123/F123*100,1)," "," Стр. 85, Гр. 10 [N119]  д.б. = [Окр(E123/F123*100,1)] {" &amp; ROUND(E123/F123*100,1) &amp; "}.")," ") &amp; IFERROR(IF(O119=ROUND(G123/H123*100,1)," "," Стр. 85, Гр. 11 [O119]  д.б. = [Окр(G123/H123*100,1)] {" &amp; ROUND(G123/H123*100,1) &amp; "}.")," ") &amp; IFERROR(IF(P119=ROUND(SUM(P125:P126),1)," "," Стр. 85, Гр. 12 [P119]  д.б. = [Окр(Сум(P125:P126),1)] {" &amp; ROUND(SUM(P125:P126),1) &amp; "}.")," ") &amp; IFERROR(IF(Q119=ROUND(SUM(Q125:Q126),1)," "," Стр. 85, Гр. 13 [Q119]  д.б. = [Окр(Сум(Q125:Q126),1)] {" &amp; ROUND(SUM(Q125:Q126),1) &amp; "}.")," ")</f>
        <v xml:space="preserve">             </v>
      </c>
    </row>
    <row r="120" spans="1:20" ht="45" customHeight="1" x14ac:dyDescent="0.25">
      <c r="A120" s="3" t="s">
        <v>57</v>
      </c>
      <c r="B120" s="1"/>
      <c r="C120" s="1" t="s">
        <v>1</v>
      </c>
      <c r="D120" s="1" t="s">
        <v>1</v>
      </c>
      <c r="E120" s="63"/>
      <c r="F120" s="63"/>
      <c r="G120" s="63"/>
      <c r="H120" s="63"/>
      <c r="I120" s="63"/>
      <c r="J120" s="63"/>
      <c r="K120" s="63"/>
      <c r="L120" s="63"/>
      <c r="M120" s="63"/>
      <c r="N120" s="63"/>
      <c r="O120" s="63"/>
      <c r="P120" s="63"/>
      <c r="Q120" s="63"/>
      <c r="R120" s="63"/>
      <c r="S120" s="63"/>
    </row>
    <row r="121" spans="1:20" ht="45" customHeight="1" x14ac:dyDescent="0.25">
      <c r="A121" s="3" t="s">
        <v>58</v>
      </c>
      <c r="B121" s="1" t="s">
        <v>199</v>
      </c>
      <c r="C121" s="1" t="s">
        <v>1</v>
      </c>
      <c r="D121" s="1" t="s">
        <v>1</v>
      </c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5" t="str">
        <f>IFERROR(IF(I121=ROUND(G125/G8*100,1)," "," Стр. 86, Гр. 5 [I121]  д.б. = [Окр(G125/G8*100,1)] {" &amp; ROUND(G125/G8*100,1) &amp; "}.")," ") &amp; IFERROR(IF(J121=ROUND(H125/H8*100,1)," "," Стр. 86, Гр. 6 [J121]  д.б. = [Окр(H125/H8*100,1)] {" &amp; ROUND(H125/H8*100,1) &amp; "}.")," ") &amp; IFERROR(IF(K121=ROUND(G125/E125*1000,1)," "," Стр. 86, Гр. 7 [K121]  д.б. = [Окр(G125/E125*1000,1)] {" &amp; ROUND(G125/E125*1000,1) &amp; "}.")," ") &amp; IFERROR(IF(L121=ROUND(H125/F125*1000,1)," "," Стр. 86, Гр. 8 [L121]  д.б. = [Окр(H125/F125*1000,1)] {" &amp; ROUND(H125/F125*1000,1) &amp; "}.")," ") &amp; IFERROR(IF(M121=ROUND(K125/L125*100,1)," "," Стр. 86, Гр. 9 [M121]  д.б. = [Окр(K125/L125*100,1)] {" &amp; ROUND(K125/L125*100,1) &amp; "}.")," ") &amp; IFERROR(IF(N121=ROUND(E125/F125*100,1)," "," Стр. 86, Гр. 10 [N121]  д.б. = [Окр(E125/F125*100,1)] {" &amp; ROUND(E125/F125*100,1) &amp; "}.")," ") &amp; IFERROR(IF(O121=ROUND(G125/H125*100,1)," "," Стр. 86, Гр. 11 [O121]  д.б. = [Окр(G125/H125*100,1)] {" &amp; ROUND(G125/H125*100,1) &amp; "}.")," ") &amp; IFERROR(IF(P121=ROUND(E125/E123*100,1)," "," Стр. 86, Гр. 12 [P121]  д.б. = [Окр(E125/E123*100,1)] {" &amp; ROUND(E125/E123*100,1) &amp; "}.")," ") &amp; IFERROR(IF(Q121=ROUND(F125/F123*100,1)," "," Стр. 86, Гр. 13 [Q121]  д.б. = [Окр(F125/F123*100,1)] {" &amp; ROUND(F125/F123*100,1) &amp; "}.")," ") &amp; IFERROR(IF(R121=ROUND(K125/K126*100,1)," "," Стр. 86, Гр. 14 [R121]  д.б. = [Окр(K125/K126*100,1)] {" &amp; ROUND(K125/K126*100,1) &amp; "}.")," ") &amp; IFERROR(IF(S121=ROUND(L125/L126*100,1)," "," Стр. 86, Гр. 15 [S121]  д.б. = [Окр(L125/L126*100,1)] {" &amp; ROUND(L125/L126*100,1) &amp; "}.")," ")</f>
        <v xml:space="preserve">           </v>
      </c>
    </row>
    <row r="122" spans="1:20" ht="45" customHeight="1" x14ac:dyDescent="0.25">
      <c r="A122" s="3" t="s">
        <v>60</v>
      </c>
      <c r="B122" s="1" t="s">
        <v>200</v>
      </c>
      <c r="C122" s="1" t="s">
        <v>1</v>
      </c>
      <c r="D122" s="1" t="s">
        <v>1</v>
      </c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5" t="str">
        <f>IFERROR(IF(I122=ROUND(G126/G9*100,1)," "," Стр. 87, Гр. 5 [I122]  д.б. = [Окр(G126/G9*100,1)] {" &amp; ROUND(G126/G9*100,1) &amp; "}.")," ") &amp; IFERROR(IF(J122=ROUND(H126/H9*100,1)," "," Стр. 87, Гр. 6 [J122]  д.б. = [Окр(H126/H9*100,1)] {" &amp; ROUND(H126/H9*100,1) &amp; "}.")," ") &amp; IFERROR(IF(K122=ROUND(G126/E126*1000,1)," "," Стр. 87, Гр. 7 [K122]  д.б. = [Окр(G126/E126*1000,1)] {" &amp; ROUND(G126/E126*1000,1) &amp; "}.")," ") &amp; IFERROR(IF(L122=ROUND(H126/F126*1000,1)," "," Стр. 87, Гр. 8 [L122]  д.б. = [Окр(H126/F126*1000,1)] {" &amp; ROUND(H126/F126*1000,1) &amp; "}.")," ") &amp; IFERROR(IF(M122=ROUND(K126/L126*100,1)," "," Стр. 87, Гр. 9 [M122]  д.б. = [Окр(K126/L126*100,1)] {" &amp; ROUND(K126/L126*100,1) &amp; "}.")," ") &amp; IFERROR(IF(N122=ROUND(E126/F126*100,1)," "," Стр. 87, Гр. 10 [N122]  д.б. = [Окр(E126/F126*100,1)] {" &amp; ROUND(E126/F126*100,1) &amp; "}.")," ") &amp; IFERROR(IF(O122=ROUND(G126/H126*100,1)," "," Стр. 87, Гр. 11 [O122]  д.б. = [Окр(G126/H126*100,1)] {" &amp; ROUND(G126/H126*100,1) &amp; "}.")," ") &amp; IFERROR(IF(P122=ROUND(E126/E123*100,1)," "," Стр. 87, Гр. 12 [P122]  д.б. = [Окр(E126/E123*100,1)] {" &amp; ROUND(E126/E123*100,1) &amp; "}.")," ") &amp; IFERROR(IF(Q122=ROUND(F119/F123*100,1)," "," Стр. 87, Гр. 13 [Q122]  д.б. = [Окр(F119/F123*100,1)] {" &amp; ROUND(F119/F123*100,1) &amp; "}.")," ") &amp; IFERROR(IF(R122=ROUND(K126/K125*100,1)," "," Стр. 87, Гр. 14 [R122]  д.б. = [Окр(K126/K125*100,1)] {" &amp; ROUND(K126/K125*100,1) &amp; "}.")," ") &amp; IFERROR(IF(S122=ROUND(L126/L125*100,1)," "," Стр. 87, Гр. 15 [S122]  д.б. = [Окр(L126/L125*100,1)] {" &amp; ROUND(L126/L125*100,1) &amp; "}.")," ")</f>
        <v xml:space="preserve">           </v>
      </c>
    </row>
    <row r="123" spans="1:20" ht="45" customHeight="1" x14ac:dyDescent="0.25">
      <c r="A123" s="3" t="s">
        <v>201</v>
      </c>
      <c r="B123" s="1" t="s">
        <v>202</v>
      </c>
      <c r="C123" s="1" t="s">
        <v>203</v>
      </c>
      <c r="D123" s="1" t="s">
        <v>56</v>
      </c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5" t="str">
        <f>IFERROR(IF(E123=ROUND(SUM(E129:E130),1)," "," Стр. 88, Гр. 1 [E123]  д.б. = [Окр(Сум(E129:E130),1)] {" &amp; ROUND(SUM(E129:E130),1) &amp; "}.")," ") &amp; IFERROR(IF(F123=ROUND(SUM(F129:F130),1)," "," Стр. 88, Гр. 2 [F123]  д.б. = [Окр(Сум(F129:F130),1)] {" &amp; ROUND(SUM(F129:F130),1) &amp; "}.")," ") &amp; IFERROR(IF(G123=ROUND(SUM(G129:G130),1)," "," Стр. 88, Гр. 3 [G123]  д.б. = [Окр(Сум(G129:G130),1)] {" &amp; ROUND(SUM(G129:G130),1) &amp; "}.")," ") &amp; IFERROR(IF(H123=ROUND(SUM(H129:H130),1)," "," Стр. 88, Гр. 4 [H123]  д.б. = [Окр(Сум(H129:H130),1)] {" &amp; ROUND(SUM(H129:H130),1) &amp; "}.")," ") &amp; IFERROR(IF(I123=ROUND(G127/G6*100,1)," "," Стр. 88, Гр. 5 [I123]  д.б. = [Окр(G127/G6*100,1)] {" &amp; ROUND(G127/G6*100,1) &amp; "}.")," ") &amp; IFERROR(IF(J123=ROUND(H127/H6*100,1)," "," Стр. 88, Гр. 6 [J123]  д.б. = [Окр(H127/H6*100,1)] {" &amp; ROUND(H127/H6*100,1) &amp; "}.")," ") &amp; IFERROR(IF(K123=ROUND(G127/E127*1000,1)," "," Стр. 88, Гр. 7 [K123]  д.б. = [Окр(G127/E127*1000,1)] {" &amp; ROUND(G127/E127*1000,1) &amp; "}.")," ") &amp; IFERROR(IF(L123=ROUND(H127/F127*1000,1)," "," Стр. 88, Гр. 8 [L123]  д.б. = [Окр(H127/F127*1000,1)] {" &amp; ROUND(H127/F127*1000,1) &amp; "}.")," ") &amp; IFERROR(IF(M123=ROUND(K127/L127*100,1)," "," Стр. 88, Гр. 9 [M123]  д.б. = [Окр(K127/L127*100,1)] {" &amp; ROUND(K127/L127*100,1) &amp; "}.")," ") &amp; IFERROR(IF(N123=ROUND(E127/F127*100,1)," "," Стр. 88, Гр. 10 [N123]  д.б. = [Окр(E127/F127*100,1)] {" &amp; ROUND(E127/F127*100,1) &amp; "}.")," ") &amp; IFERROR(IF(O123=ROUND(G127/H127*100,1)," "," Стр. 88, Гр. 11 [O123]  д.б. = [Окр(G127/H127*100,1)] {" &amp; ROUND(G127/H127*100,1) &amp; "}.")," ") &amp; IFERROR(IF(P123=ROUND(SUM(P129:P130),1)," "," Стр. 88, Гр. 12 [P123]  д.б. = [Окр(Сум(P129:P130),1)] {" &amp; ROUND(SUM(P129:P130),1) &amp; "}.")," ") &amp; IFERROR(IF(Q123=ROUND(SUM(Q129:Q130),1)," "," Стр. 88, Гр. 13 [Q123]  д.б. = [Окр(Сум(Q129:Q130),1)] {" &amp; ROUND(SUM(Q129:Q130),1) &amp; "}.")," ")</f>
        <v xml:space="preserve">             </v>
      </c>
    </row>
    <row r="124" spans="1:20" ht="45" customHeight="1" x14ac:dyDescent="0.25">
      <c r="A124" s="3" t="s">
        <v>57</v>
      </c>
      <c r="B124" s="1"/>
      <c r="C124" s="1" t="s">
        <v>1</v>
      </c>
      <c r="D124" s="1" t="s">
        <v>1</v>
      </c>
      <c r="E124" s="63"/>
      <c r="F124" s="63"/>
      <c r="G124" s="63"/>
      <c r="H124" s="63"/>
      <c r="I124" s="63"/>
      <c r="J124" s="63"/>
      <c r="K124" s="63"/>
      <c r="L124" s="63"/>
      <c r="M124" s="63"/>
      <c r="N124" s="63"/>
      <c r="O124" s="63"/>
      <c r="P124" s="63"/>
      <c r="Q124" s="63"/>
      <c r="R124" s="63"/>
      <c r="S124" s="63"/>
    </row>
    <row r="125" spans="1:20" ht="45" customHeight="1" x14ac:dyDescent="0.25">
      <c r="A125" s="3" t="s">
        <v>58</v>
      </c>
      <c r="B125" s="1" t="s">
        <v>204</v>
      </c>
      <c r="C125" s="1" t="s">
        <v>1</v>
      </c>
      <c r="D125" s="1" t="s">
        <v>1</v>
      </c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5" t="str">
        <f>IFERROR(IF(I125=ROUND(G129/G8*100,1)," "," Стр. 89, Гр. 5 [I125]  д.б. = [Окр(G129/G8*100,1)] {" &amp; ROUND(G129/G8*100,1) &amp; "}.")," ") &amp; IFERROR(IF(J125=ROUND(H129/H8*100,1)," "," Стр. 89, Гр. 6 [J125]  д.б. = [Окр(H129/H8*100,1)] {" &amp; ROUND(H129/H8*100,1) &amp; "}.")," ") &amp; IFERROR(IF(K125=ROUND(G129/E129*1000,1)," "," Стр. 89, Гр. 7 [K125]  д.б. = [Окр(G129/E129*1000,1)] {" &amp; ROUND(G129/E129*1000,1) &amp; "}.")," ") &amp; IFERROR(IF(L125=ROUND(H129/F129*1000,1)," "," Стр. 89, Гр. 8 [L125]  д.б. = [Окр(H129/F129*1000,1)] {" &amp; ROUND(H129/F129*1000,1) &amp; "}.")," ") &amp; IFERROR(IF(M125=ROUND(K129/L129*100,1)," "," Стр. 89, Гр. 9 [M125]  д.б. = [Окр(K129/L129*100,1)] {" &amp; ROUND(K129/L129*100,1) &amp; "}.")," ") &amp; IFERROR(IF(N125=ROUND(E129/F129*100,1)," "," Стр. 89, Гр. 10 [N125]  д.б. = [Окр(E129/F129*100,1)] {" &amp; ROUND(E129/F129*100,1) &amp; "}.")," ") &amp; IFERROR(IF(O125=ROUND(G129/H129*100,1)," "," Стр. 89, Гр. 11 [O125]  д.б. = [Окр(G129/H129*100,1)] {" &amp; ROUND(G129/H129*100,1) &amp; "}.")," ") &amp; IFERROR(IF(P125=ROUND(E129/E127*100,1)," "," Стр. 89, Гр. 12 [P125]  д.б. = [Окр(E129/E127*100,1)] {" &amp; ROUND(E129/E127*100,1) &amp; "}.")," ") &amp; IFERROR(IF(Q125=ROUND(F129/F127*100,1)," "," Стр. 89, Гр. 13 [Q125]  д.б. = [Окр(F129/F127*100,1)] {" &amp; ROUND(F129/F127*100,1) &amp; "}.")," ") &amp; IFERROR(IF(R125=ROUND(K129/K130*100,1)," "," Стр. 89, Гр. 14 [R125]  д.б. = [Окр(K129/K130*100,1)] {" &amp; ROUND(K129/K130*100,1) &amp; "}.")," ") &amp; IFERROR(IF(S125=ROUND(L129/L130*100,1)," "," Стр. 89, Гр. 15 [S125]  д.б. = [Окр(L129/L130*100,1)] {" &amp; ROUND(L129/L130*100,1) &amp; "}.")," ")</f>
        <v xml:space="preserve">           </v>
      </c>
    </row>
    <row r="126" spans="1:20" ht="45" customHeight="1" x14ac:dyDescent="0.25">
      <c r="A126" s="3" t="s">
        <v>60</v>
      </c>
      <c r="B126" s="1" t="s">
        <v>205</v>
      </c>
      <c r="C126" s="1" t="s">
        <v>1</v>
      </c>
      <c r="D126" s="1" t="s">
        <v>1</v>
      </c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5" t="str">
        <f>IFERROR(IF(I126=ROUND(G130/G9*100,1)," "," Стр. 90, Гр. 5 [I126]  д.б. = [Окр(G130/G9*100,1)] {" &amp; ROUND(G130/G9*100,1) &amp; "}.")," ") &amp; IFERROR(IF(J126=ROUND(H130/H9*100,1)," "," Стр. 90, Гр. 6 [J126]  д.б. = [Окр(H130/H9*100,1)] {" &amp; ROUND(H130/H9*100,1) &amp; "}.")," ") &amp; IFERROR(IF(K126=ROUND(G130/E130*1000,1)," "," Стр. 90, Гр. 7 [K126]  д.б. = [Окр(G130/E130*1000,1)] {" &amp; ROUND(G130/E130*1000,1) &amp; "}.")," ") &amp; IFERROR(IF(L126=ROUND(H130/F130*1000,1)," "," Стр. 90, Гр. 8 [L126]  д.б. = [Окр(H130/F130*1000,1)] {" &amp; ROUND(H130/F130*1000,1) &amp; "}.")," ") &amp; IFERROR(IF(M126=ROUND(K130/L130*100,1)," "," Стр. 90, Гр. 9 [M126]  д.б. = [Окр(K130/L130*100,1)] {" &amp; ROUND(K130/L130*100,1) &amp; "}.")," ") &amp; IFERROR(IF(N126=ROUND(E130/F130*100,1)," "," Стр. 90, Гр. 10 [N126]  д.б. = [Окр(E130/F130*100,1)] {" &amp; ROUND(E130/F130*100,1) &amp; "}.")," ") &amp; IFERROR(IF(O126=ROUND(G130/H130*100,1)," "," Стр. 90, Гр. 11 [O126]  д.б. = [Окр(G130/H130*100,1)] {" &amp; ROUND(G130/H130*100,1) &amp; "}.")," ") &amp; IFERROR(IF(P126=ROUND(E130/E127*100,1)," "," Стр. 90, Гр. 12 [P126]  д.б. = [Окр(E130/E127*100,1)] {" &amp; ROUND(E130/E127*100,1) &amp; "}.")," ") &amp; IFERROR(IF(Q126=ROUND(F130/F127*100,1)," "," Стр. 90, Гр. 13 [Q126]  д.б. = [Окр(F130/F127*100,1)] {" &amp; ROUND(F130/F127*100,1) &amp; "}.")," ") &amp; IFERROR(IF(R126=ROUND(K130/K129*100,1)," "," Стр. 90, Гр. 14 [R126]  д.б. = [Окр(K130/K129*100,1)] {" &amp; ROUND(K130/K129*100,1) &amp; "}.")," ") &amp; IFERROR(IF(S126=ROUND(L130/L129*100,1)," "," Стр. 90, Гр. 15 [S126]  д.б. = [Окр(L130/L129*100,1)] {" &amp; ROUND(L130/L129*100,1) &amp; "}.")," ")</f>
        <v xml:space="preserve">           </v>
      </c>
    </row>
    <row r="127" spans="1:20" ht="45" customHeight="1" x14ac:dyDescent="0.25">
      <c r="A127" s="3" t="s">
        <v>206</v>
      </c>
      <c r="B127" s="1" t="s">
        <v>207</v>
      </c>
      <c r="C127" s="1" t="s">
        <v>208</v>
      </c>
      <c r="D127" s="1" t="s">
        <v>209</v>
      </c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5" t="str">
        <f>IFERROR(IF(E127=ROUND(SUM(E133:E134),1)," "," Стр. 91, Гр. 1 [E127]  д.б. = [Окр(Сум(E133:E134),1)] {" &amp; ROUND(SUM(E133:E134),1) &amp; "}.")," ") &amp; IFERROR(IF(F127=ROUND(SUM(F133:F134),1)," "," Стр. 91, Гр. 2 [F127]  д.б. = [Окр(Сум(F133:F134),1)] {" &amp; ROUND(SUM(F133:F134),1) &amp; "}.")," ") &amp; IFERROR(IF(G127=ROUND(SUM(G133:G134),1)," "," Стр. 91, Гр. 3 [G127]  д.б. = [Окр(Сум(G133:G134),1)] {" &amp; ROUND(SUM(G133:G134),1) &amp; "}.")," ") &amp; IFERROR(IF(H127=ROUND(SUM(H133:H134),1)," "," Стр. 91, Гр. 4 [H127]  д.б. = [Окр(Сум(H133:H134),1)] {" &amp; ROUND(SUM(H133:H134),1) &amp; "}.")," ") &amp; IFERROR(IF(I127=ROUND(G131/G6*100,1)," "," Стр. 91, Гр. 5 [I127]  д.б. = [Окр(G131/G6*100,1)] {" &amp; ROUND(G131/G6*100,1) &amp; "}.")," ") &amp; IFERROR(IF(J127=ROUND(H131/H6*100,1)," "," Стр. 91, Гр. 6 [J127]  д.б. = [Окр(H131/H6*100,1)] {" &amp; ROUND(H131/H6*100,1) &amp; "}.")," ") &amp; IFERROR(IF(K127=ROUND(G131/E131*1000,1)," "," Стр. 91, Гр. 7 [K127]  д.б. = [Окр(G131/E131*1000,1)] {" &amp; ROUND(G131/E131*1000,1) &amp; "}.")," ") &amp; IFERROR(IF(L127=ROUND(H131/F131*1000,1)," "," Стр. 91, Гр. 8 [L127]  д.б. = [Окр(H131/F131*1000,1)] {" &amp; ROUND(H131/F131*1000,1) &amp; "}.")," ") &amp; IFERROR(IF(M127=ROUND(K131/L131*100,1)," "," Стр. 91, Гр. 9 [M127]  д.б. = [Окр(K131/L131*100,1)] {" &amp; ROUND(K131/L131*100,1) &amp; "}.")," ") &amp; IFERROR(IF(N127=ROUND(E131/F131*100,1)," "," Стр. 91, Гр. 10 [N127]  д.б. = [Окр(E131/F131*100,1)] {" &amp; ROUND(E131/F131*100,1) &amp; "}.")," ") &amp; IFERROR(IF(O127=ROUND(G131/H131*100,1)," "," Стр. 91, Гр. 11 [O127]  д.б. = [Окр(G131/H131*100,1)] {" &amp; ROUND(G131/H131*100,1) &amp; "}.")," ") &amp; IFERROR(IF(P127=ROUND(SUM(P133:P134),1)," "," Стр. 91, Гр. 12 [P127]  д.б. = [Окр(Сум(P133:P134),1)] {" &amp; ROUND(SUM(P133:P134),1) &amp; "}.")," ") &amp; IFERROR(IF(Q127=ROUND(SUM(Q133:Q134),1)," "," Стр. 91, Гр. 13 [Q127]  д.б. = [Окр(Сум(Q133:Q134),1)] {" &amp; ROUND(SUM(Q133:Q134),1) &amp; "}.")," ")</f>
        <v xml:space="preserve">             </v>
      </c>
    </row>
    <row r="128" spans="1:20" ht="45" customHeight="1" x14ac:dyDescent="0.25">
      <c r="A128" s="3" t="s">
        <v>57</v>
      </c>
      <c r="B128" s="1"/>
      <c r="C128" s="1" t="s">
        <v>1</v>
      </c>
      <c r="D128" s="1" t="s">
        <v>1</v>
      </c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63"/>
      <c r="S128" s="63"/>
    </row>
    <row r="129" spans="1:20" ht="45" customHeight="1" x14ac:dyDescent="0.25">
      <c r="A129" s="3" t="s">
        <v>58</v>
      </c>
      <c r="B129" s="1" t="s">
        <v>210</v>
      </c>
      <c r="C129" s="1" t="s">
        <v>1</v>
      </c>
      <c r="D129" s="1" t="s">
        <v>1</v>
      </c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5" t="str">
        <f>IFERROR(IF(I129=ROUND(G133/G8*100,1)," "," Стр. 92, Гр. 5 [I129]  д.б. = [Окр(G133/G8*100,1)] {" &amp; ROUND(G133/G8*100,1) &amp; "}.")," ") &amp; IFERROR(IF(J129=ROUND(H133/H8*100,1)," "," Стр. 92, Гр. 6 [J129]  д.б. = [Окр(H133/H8*100,1)] {" &amp; ROUND(H133/H8*100,1) &amp; "}.")," ") &amp; IFERROR(IF(K129=ROUND(G133/E133*1000,1)," "," Стр. 92, Гр. 7 [K129]  д.б. = [Окр(G133/E133*1000,1)] {" &amp; ROUND(G133/E133*1000,1) &amp; "}.")," ") &amp; IFERROR(IF(L129=ROUND(H133/F133*1000,1)," "," Стр. 92, Гр. 8 [L129]  д.б. = [Окр(H133/F133*1000,1)] {" &amp; ROUND(H133/F133*1000,1) &amp; "}.")," ") &amp; IFERROR(IF(M129=ROUND(K133/L133*100,1)," "," Стр. 92, Гр. 9 [M129]  д.б. = [Окр(K133/L133*100,1)] {" &amp; ROUND(K133/L133*100,1) &amp; "}.")," ") &amp; IFERROR(IF(N129=ROUND(E133/F133*100,1)," "," Стр. 92, Гр. 10 [N129]  д.б. = [Окр(E133/F133*100,1)] {" &amp; ROUND(E133/F133*100,1) &amp; "}.")," ") &amp; IFERROR(IF(O129=ROUND(G133/H133*100,1)," "," Стр. 92, Гр. 11 [O129]  д.б. = [Окр(G133/H133*100,1)] {" &amp; ROUND(G133/H133*100,1) &amp; "}.")," ") &amp; IFERROR(IF(P129=ROUND(E133/E131*100,1)," "," Стр. 92, Гр. 12 [P129]  д.б. = [Окр(E133/E131*100,1)] {" &amp; ROUND(E133/E131*100,1) &amp; "}.")," ") &amp; IFERROR(IF(Q129=ROUND(F133/F131*100,1)," "," Стр. 92, Гр. 13 [Q129]  д.б. = [Окр(F133/F131*100,1)] {" &amp; ROUND(F133/F131*100,1) &amp; "}.")," ") &amp; IFERROR(IF(R129=ROUND(K133/K134*100,1)," "," Стр. 92, Гр. 14 [R129]  д.б. = [Окр(K133/K134*100,1)] {" &amp; ROUND(K133/K134*100,1) &amp; "}.")," ") &amp; IFERROR(IF(S129=ROUND(L133/L134*100,1)," "," Стр. 92, Гр. 15 [S129]  д.б. = [Окр(L133/L134*100,1)] {" &amp; ROUND(L133/L134*100,1) &amp; "}.")," ")</f>
        <v xml:space="preserve">           </v>
      </c>
    </row>
    <row r="130" spans="1:20" ht="45" customHeight="1" x14ac:dyDescent="0.25">
      <c r="A130" s="3" t="s">
        <v>60</v>
      </c>
      <c r="B130" s="1" t="s">
        <v>211</v>
      </c>
      <c r="C130" s="1" t="s">
        <v>1</v>
      </c>
      <c r="D130" s="1" t="s">
        <v>1</v>
      </c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5" t="str">
        <f>IFERROR(IF(I130=ROUND(G134/G9*100,1)," "," Стр. 93, Гр. 5 [I130]  д.б. = [Окр(G134/G9*100,1)] {" &amp; ROUND(G134/G9*100,1) &amp; "}.")," ") &amp; IFERROR(IF(J130=ROUND(H134/H9*100,1)," "," Стр. 93, Гр. 6 [J130]  д.б. = [Окр(H134/H9*100,1)] {" &amp; ROUND(H134/H9*100,1) &amp; "}.")," ") &amp; IFERROR(IF(K130=ROUND(G134/E134*1000,1)," "," Стр. 93, Гр. 7 [K130]  д.б. = [Окр(G134/E134*1000,1)] {" &amp; ROUND(G134/E134*1000,1) &amp; "}.")," ") &amp; IFERROR(IF(L130=ROUND(H134/F134*1000,1)," "," Стр. 93, Гр. 8 [L130]  д.б. = [Окр(H134/F134*1000,1)] {" &amp; ROUND(H134/F134*1000,1) &amp; "}.")," ") &amp; IFERROR(IF(M130=ROUND(K134/L134*100,1)," "," Стр. 93, Гр. 9 [M130]  д.б. = [Окр(K134/L134*100,1)] {" &amp; ROUND(K134/L134*100,1) &amp; "}.")," ") &amp; IFERROR(IF(N130=ROUND(E134/F134*100,1)," "," Стр. 93, Гр. 10 [N130]  д.б. = [Окр(E134/F134*100,1)] {" &amp; ROUND(E134/F134*100,1) &amp; "}.")," ") &amp; IFERROR(IF(O130=ROUND(G134/H134*100,1)," "," Стр. 93, Гр. 11 [O130]  д.б. = [Окр(G134/H134*100,1)] {" &amp; ROUND(G134/H134*100,1) &amp; "}.")," ") &amp; IFERROR(IF(P130=ROUND(E134/E131*100,1)," "," Стр. 93, Гр. 12 [P130]  д.б. = [Окр(E134/E131*100,1)] {" &amp; ROUND(E134/E131*100,1) &amp; "}.")," ") &amp; IFERROR(IF(Q130=ROUND(F134/F131*100,1)," "," Стр. 93, Гр. 13 [Q130]  д.б. = [Окр(F134/F131*100,1)] {" &amp; ROUND(F134/F131*100,1) &amp; "}.")," ") &amp; IFERROR(IF(R130=ROUND(K134/K133*100,1)," "," Стр. 93, Гр. 14 [R130]  д.б. = [Окр(K134/K133*100,1)] {" &amp; ROUND(K134/K133*100,1) &amp; "}.")," ") &amp; IFERROR(IF(S130=ROUND(L134/L133*100,1)," "," Стр. 93, Гр. 15 [S130]  д.б. = [Окр(L134/L133*100,1)] {" &amp; ROUND(L134/L133*100,1) &amp; "}.")," ")</f>
        <v xml:space="preserve">           </v>
      </c>
    </row>
    <row r="131" spans="1:20" ht="45" customHeight="1" x14ac:dyDescent="0.25">
      <c r="A131" s="3" t="s">
        <v>212</v>
      </c>
      <c r="B131" s="1" t="s">
        <v>213</v>
      </c>
      <c r="C131" s="1" t="s">
        <v>214</v>
      </c>
      <c r="D131" s="1" t="s">
        <v>1</v>
      </c>
      <c r="E131" s="48"/>
      <c r="F131" s="49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5" t="str">
        <f>IFERROR(IF(G131=ROUND(SUM(G137:G138),1)," "," Стр. 94, Гр. 3 [G131]  д.б. = [Окр(Сум(G137:G138),1)] {" &amp; ROUND(SUM(G137:G138),1) &amp; "}.")," ") &amp; IFERROR(IF(H131=ROUND(SUM(H137:H138),1)," "," Стр. 94, Гр. 4 [H131]  д.б. = [Окр(Сум(H137:H138),1)] {" &amp; ROUND(SUM(H137:H138),1) &amp; "}.")," ") &amp; IFERROR(IF(I131=ROUND(G135/G6*100,1)," "," Стр. 94, Гр. 5 [I131]  д.б. = [Окр(G135/G6*100,1)] {" &amp; ROUND(G135/G6*100,1) &amp; "}.")," ") &amp; IFERROR(IF(J131=ROUND(H135/H6*100,1)," "," Стр. 94, Гр. 6 [J131]  д.б. = [Окр(H135/H6*100,1)] {" &amp; ROUND(H135/H6*100,1) &amp; "}.")," ") &amp; IFERROR(IF(O131=ROUND(G135/H135*100,1)," "," Стр. 94, Гр. 11 [O131]  д.б. = [Окр(G135/H135*100,1)] {" &amp; ROUND(G135/H135*100,1) &amp; "}.")," ") &amp; IFERROR(IF(P131=ROUND(SUM(P137:P138),1)," "," Стр. 94, Гр. 12 [P131]  д.б. = [Окр(Сум(P137:P138),1)] {" &amp; ROUND(SUM(P137:P138),1) &amp; "}.")," ") &amp; IFERROR(IF(Q131=ROUND(SUM(Q137:Q138),1)," "," Стр. 94, Гр. 13 [Q131]  д.б. = [Окр(Сум(Q137:Q138),1)] {" &amp; ROUND(SUM(Q137:Q138),1) &amp; "}.")," ")</f>
        <v xml:space="preserve">       </v>
      </c>
    </row>
    <row r="132" spans="1:20" ht="45" customHeight="1" x14ac:dyDescent="0.25">
      <c r="A132" s="3" t="s">
        <v>57</v>
      </c>
      <c r="B132" s="1"/>
      <c r="C132" s="1" t="s">
        <v>1</v>
      </c>
      <c r="D132" s="1" t="s">
        <v>1</v>
      </c>
      <c r="E132" s="63"/>
      <c r="F132" s="63"/>
      <c r="G132" s="63"/>
      <c r="H132" s="63"/>
      <c r="I132" s="63"/>
      <c r="J132" s="63"/>
      <c r="K132" s="63"/>
      <c r="L132" s="63"/>
      <c r="M132" s="63"/>
      <c r="N132" s="63"/>
      <c r="O132" s="63"/>
      <c r="P132" s="63"/>
      <c r="Q132" s="63"/>
      <c r="R132" s="63"/>
      <c r="S132" s="63"/>
    </row>
    <row r="133" spans="1:20" ht="45" customHeight="1" x14ac:dyDescent="0.25">
      <c r="A133" s="3" t="s">
        <v>58</v>
      </c>
      <c r="B133" s="1" t="s">
        <v>215</v>
      </c>
      <c r="C133" s="1" t="s">
        <v>1</v>
      </c>
      <c r="D133" s="1" t="s">
        <v>1</v>
      </c>
      <c r="E133" s="50"/>
      <c r="F133" s="5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5" t="str">
        <f>IFERROR(IF(I133=ROUND(G137/G8*100,1)," "," Стр. 95, Гр. 5 [I133]  д.б. = [Окр(G137/G8*100,1)] {" &amp; ROUND(G137/G8*100,1) &amp; "}.")," ") &amp; IFERROR(IF(J133=ROUND(G137/G8*100,1)," "," Стр. 95, Гр. 6 [J133]  д.б. = [Окр(G137/G8*100,1)] {" &amp; ROUND(G137/G8*100,1) &amp; "}.")," ") &amp; IFERROR(IF(O133=ROUND(G137/H137*100,1)," "," Стр. 95, Гр. 11 [O133]  д.б. = [Окр(G137/H137*100,1)] {" &amp; ROUND(G137/H137*100,1) &amp; "}.")," ") &amp; IFERROR(IF(P133=ROUND(G137/G135*100,1)," "," Стр. 95, Гр. 12 [P133]  д.б. = [Окр(G137/G135*100,1)] {" &amp; ROUND(G137/G135*100,1) &amp; "}.")," ") &amp; IFERROR(IF(Q133=ROUND(H137/H135*100,1)," "," Стр. 95, Гр. 13 [Q133]  д.б. = [Окр(H137/H135*100,1)] {" &amp; ROUND(H137/H135*100,1) &amp; "}.")," ")</f>
        <v xml:space="preserve">     </v>
      </c>
    </row>
    <row r="134" spans="1:20" ht="45" customHeight="1" x14ac:dyDescent="0.25">
      <c r="A134" s="3" t="s">
        <v>60</v>
      </c>
      <c r="B134" s="1" t="s">
        <v>216</v>
      </c>
      <c r="C134" s="1" t="s">
        <v>1</v>
      </c>
      <c r="D134" s="1" t="s">
        <v>1</v>
      </c>
      <c r="E134" s="52"/>
      <c r="F134" s="53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5" t="str">
        <f>IFERROR(IF(I134=ROUND(G138/G9*100,1)," "," Стр. 96, Гр. 5 [I134]  д.б. = [Окр(G138/G9*100,1)] {" &amp; ROUND(G138/G9*100,1) &amp; "}.")," ") &amp; IFERROR(IF(J134=ROUND(H138/H9*100,1)," "," Стр. 96, Гр. 6 [J134]  д.б. = [Окр(H138/H9*100,1)] {" &amp; ROUND(H138/H9*100,1) &amp; "}.")," ") &amp; IFERROR(IF(O134=ROUND(G138/H138*100,1)," "," Стр. 96, Гр. 11 [O134]  д.б. = [Окр(G138/H138*100,1)] {" &amp; ROUND(G138/H138*100,1) &amp; "}.")," ") &amp; IFERROR(IF(P134=ROUND(G138/G135*100,1)," "," Стр. 96, Гр. 12 [P134]  д.б. = [Окр(G138/G135*100,1)] {" &amp; ROUND(G138/G135*100,1) &amp; "}.")," ") &amp; IFERROR(IF(Q134=ROUND(H138/H135*100,1)," "," Стр. 96, Гр. 13 [Q134]  д.б. = [Окр(H138/H135*100,1)] {" &amp; ROUND(H138/H135*100,1) &amp; "}.")," ")</f>
        <v xml:space="preserve">     </v>
      </c>
    </row>
    <row r="135" spans="1:20" ht="45" customHeight="1" x14ac:dyDescent="0.25">
      <c r="A135" s="3" t="s">
        <v>217</v>
      </c>
      <c r="B135" s="1" t="s">
        <v>218</v>
      </c>
      <c r="C135" s="1" t="s">
        <v>219</v>
      </c>
      <c r="D135" s="1" t="s">
        <v>220</v>
      </c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5" t="str">
        <f>IFERROR(IF(E135=ROUND(SUM(E141:E142),1)," "," Стр. 97, Гр. 1 [E135]  д.б. = [Окр(Сум(E141:E142),1)] {" &amp; ROUND(SUM(E141:E142),1) &amp; "}.")," ") &amp; IFERROR(IF(F135=ROUND(SUM(F141:F142),1)," "," Стр. 97, Гр. 2 [F135]  д.б. = [Окр(Сум(F141:F142),1)] {" &amp; ROUND(SUM(F141:F142),1) &amp; "}.")," ") &amp; IFERROR(IF(G135=ROUND(SUM(G141:G142),1)," "," Стр. 97, Гр. 3 [G135]  д.б. = [Окр(Сум(G141:G142),1)] {" &amp; ROUND(SUM(G141:G142),1) &amp; "}.")," ") &amp; IFERROR(IF(H135=ROUND(SUM(H141:H142),1)," "," Стр. 97, Гр. 4 [H135]  д.б. = [Окр(Сум(H141:H142),1)] {" &amp; ROUND(SUM(H141:H142),1) &amp; "}.")," ") &amp; IFERROR(IF(I135=ROUND(G141/G6*100,1)," "," Стр. 97, Гр. 5 [I135]  д.б. = [Окр(G141/G6*100,1)] {" &amp; ROUND(G141/G6*100,1) &amp; "}.")," ") &amp; IFERROR(IF(J135=ROUND(H141/H6*100,1)," "," Стр. 97, Гр. 6 [J135]  д.б. = [Окр(H141/H6*100,1)] {" &amp; ROUND(H141/H6*100,1) &amp; "}.")," ") &amp; IFERROR(IF(K135=ROUND(G139/E139*1000,1)," "," Стр. 97, Гр. 7 [K135]  д.б. = [Окр(G139/E139*1000,1)] {" &amp; ROUND(G139/E139*1000,1) &amp; "}.")," ") &amp; IFERROR(IF(L135=ROUND(H139/F139*1000,1)," "," Стр. 97, Гр. 8 [L135]  д.б. = [Окр(H139/F139*1000,1)] {" &amp; ROUND(H139/F139*1000,1) &amp; "}.")," ") &amp; IFERROR(IF(M135=ROUND(K139/L139*100,1)," "," Стр. 97, Гр. 9 [M135]  д.б. = [Окр(K139/L139*100,1)] {" &amp; ROUND(K139/L139*100,1) &amp; "}.")," ") &amp; IFERROR(IF(N135=ROUND(E139/F139*100,1)," "," Стр. 97, Гр. 10 [N135]  д.б. = [Окр(E139/F139*100,1)] {" &amp; ROUND(E139/F139*100,1) &amp; "}.")," ") &amp; IFERROR(IF(O135=ROUND(G139/H139*100,1)," "," Стр. 97, Гр. 11 [O135]  д.б. = [Окр(G139/H139*100,1)] {" &amp; ROUND(G139/H139*100,1) &amp; "}.")," ") &amp; IFERROR(IF(P135=ROUND(SUM(P141:P142),1)," "," Стр. 97, Гр. 12 [P135]  д.б. = [Окр(Сум(P141:P142),1)] {" &amp; ROUND(SUM(P141:P142),1) &amp; "}.")," ") &amp; IFERROR(IF(Q135=ROUND(SUM(Q141:Q142),1)," "," Стр. 97, Гр. 13 [Q135]  д.б. = [Окр(Сум(Q141:Q142),1)] {" &amp; ROUND(SUM(Q141:Q142),1) &amp; "}.")," ")</f>
        <v xml:space="preserve">             </v>
      </c>
    </row>
    <row r="136" spans="1:20" ht="45" customHeight="1" x14ac:dyDescent="0.25">
      <c r="A136" s="3" t="s">
        <v>57</v>
      </c>
      <c r="B136" s="1"/>
      <c r="C136" s="1" t="s">
        <v>1</v>
      </c>
      <c r="D136" s="1" t="s">
        <v>1</v>
      </c>
      <c r="E136" s="63"/>
      <c r="F136" s="63"/>
      <c r="G136" s="63"/>
      <c r="H136" s="63"/>
      <c r="I136" s="63"/>
      <c r="J136" s="63"/>
      <c r="K136" s="63"/>
      <c r="L136" s="63"/>
      <c r="M136" s="63"/>
      <c r="N136" s="63"/>
      <c r="O136" s="63"/>
      <c r="P136" s="63"/>
      <c r="Q136" s="63"/>
      <c r="R136" s="63"/>
      <c r="S136" s="63"/>
    </row>
    <row r="137" spans="1:20" ht="45" customHeight="1" x14ac:dyDescent="0.25">
      <c r="A137" s="3" t="s">
        <v>58</v>
      </c>
      <c r="B137" s="1" t="s">
        <v>221</v>
      </c>
      <c r="C137" s="1" t="s">
        <v>1</v>
      </c>
      <c r="D137" s="1" t="s">
        <v>1</v>
      </c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5" t="str">
        <f>IFERROR(IF(I137=ROUND(G141/G8*100,1)," "," Стр. 98, Гр. 5 [I137]  д.б. = [Окр(G141/G8*100,1)] {" &amp; ROUND(G141/G8*100,1) &amp; "}.")," ") &amp; IFERROR(IF(J137=ROUND(H141/H8*100,1)," "," Стр. 98, Гр. 6 [J137]  д.б. = [Окр(H141/H8*100,1)] {" &amp; ROUND(H141/H8*100,1) &amp; "}.")," ") &amp; IFERROR(IF(K137=ROUND(G141/E141*1000,1)," "," Стр. 98, Гр. 7 [K137]  д.б. = [Окр(G141/E141*1000,1)] {" &amp; ROUND(G141/E141*1000,1) &amp; "}.")," ") &amp; IFERROR(IF(L137=ROUND(H141/F141*1000,1)," "," Стр. 98, Гр. 8 [L137]  д.б. = [Окр(H141/F141*1000,1)] {" &amp; ROUND(H141/F141*1000,1) &amp; "}.")," ") &amp; IFERROR(IF(M137=ROUND(K141/L141*100,1)," "," Стр. 98, Гр. 9 [M137]  д.б. = [Окр(K141/L141*100,1)] {" &amp; ROUND(K141/L141*100,1) &amp; "}.")," ") &amp; IFERROR(IF(N137=ROUND(E141/F141*100,1)," "," Стр. 98, Гр. 10 [N137]  д.б. = [Окр(E141/F141*100,1)] {" &amp; ROUND(E141/F141*100,1) &amp; "}.")," ") &amp; IFERROR(IF(O137=ROUND(G141/H141*100,1)," "," Стр. 98, Гр. 11 [O137]  д.б. = [Окр(G141/H141*100,1)] {" &amp; ROUND(G141/H141*100,1) &amp; "}.")," ") &amp; IFERROR(IF(P137=ROUND(E141/E139*100,1)," "," Стр. 98, Гр. 12 [P137]  д.б. = [Окр(E141/E139*100,1)] {" &amp; ROUND(E141/E139*100,1) &amp; "}.")," ") &amp; IFERROR(IF(Q137=ROUND(F141/F139*100,1)," "," Стр. 98, Гр. 13 [Q137]  д.б. = [Окр(F141/F139*100,1)] {" &amp; ROUND(F141/F139*100,1) &amp; "}.")," ") &amp; IFERROR(IF(R137=ROUND(K141/K142*100,1)," "," Стр. 98, Гр. 14 [R137]  д.б. = [Окр(K141/K142*100,1)] {" &amp; ROUND(K141/K142*100,1) &amp; "}.")," ") &amp; IFERROR(IF(S137=ROUND(L141/L142*100,1)," "," Стр. 98, Гр. 15 [S137]  д.б. = [Окр(L141/L142*100,1)] {" &amp; ROUND(L141/L142*100,1) &amp; "}.")," ")</f>
        <v xml:space="preserve">           </v>
      </c>
    </row>
    <row r="138" spans="1:20" ht="45" customHeight="1" x14ac:dyDescent="0.25">
      <c r="A138" s="3" t="s">
        <v>60</v>
      </c>
      <c r="B138" s="1" t="s">
        <v>222</v>
      </c>
      <c r="C138" s="1" t="s">
        <v>1</v>
      </c>
      <c r="D138" s="1" t="s">
        <v>1</v>
      </c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5" t="str">
        <f>IFERROR(IF(I138=ROUND(G142/G9*100,1)," "," Стр. 99, Гр. 5 [I138]  д.б. = [Окр(G142/G9*100,1)] {" &amp; ROUND(G142/G9*100,1) &amp; "}.")," ") &amp; IFERROR(IF(J138=ROUND(H142/H9*100,1)," "," Стр. 99, Гр. 6 [J138]  д.б. = [Окр(H142/H9*100,1)] {" &amp; ROUND(H142/H9*100,1) &amp; "}.")," ") &amp; IFERROR(IF(K138=ROUND(G142/E142*1000,1)," "," Стр. 99, Гр. 7 [K138]  д.б. = [Окр(G142/E142*1000,1)] {" &amp; ROUND(G142/E142*1000,1) &amp; "}.")," ") &amp; IFERROR(IF(L138=ROUND(H142/F142*1000,1)," "," Стр. 99, Гр. 8 [L138]  д.б. = [Окр(H142/F142*1000,1)] {" &amp; ROUND(H142/F142*1000,1) &amp; "}.")," ") &amp; IFERROR(IF(M138=ROUND(K142/L142*100,1)," "," Стр. 99, Гр. 9 [M138]  д.б. = [Окр(K142/L142*100,1)] {" &amp; ROUND(K142/L142*100,1) &amp; "}.")," ") &amp; IFERROR(IF(N138=ROUND(E142/F142*100,1)," "," Стр. 99, Гр. 10 [N138]  д.б. = [Окр(E142/F142*100,1)] {" &amp; ROUND(E142/F142*100,1) &amp; "}.")," ") &amp; IFERROR(IF(O138=ROUND(G142/H142*100,1)," "," Стр. 99, Гр. 11 [O138]  д.б. = [Окр(G142/H142*100,1)] {" &amp; ROUND(G142/H142*100,1) &amp; "}.")," ") &amp; IFERROR(IF(P138=ROUND(E142/E139*100,1)," "," Стр. 99, Гр. 12 [P138]  д.б. = [Окр(E142/E139*100,1)] {" &amp; ROUND(E142/E139*100,1) &amp; "}.")," ") &amp; IFERROR(IF(Q138=ROUND(F142/F139*100,1)," "," Стр. 99, Гр. 13 [Q138]  д.б. = [Окр(F142/F139*100,1)] {" &amp; ROUND(F142/F139*100,1) &amp; "}.")," ") &amp; IFERROR(IF(R138=ROUND(K142/K141*100,1)," "," Стр. 99, Гр. 14 [R138]  д.б. = [Окр(K142/K141*100,1)] {" &amp; ROUND(K142/K141*100,1) &amp; "}.")," ") &amp; IFERROR(IF(S138=ROUND(L142/L141*100,1)," "," Стр. 99, Гр. 15 [S138]  д.б. = [Окр(L142/L141*100,1)] {" &amp; ROUND(L142/L141*100,1) &amp; "}.")," ")</f>
        <v xml:space="preserve">           </v>
      </c>
    </row>
    <row r="139" spans="1:20" ht="45" customHeight="1" x14ac:dyDescent="0.25">
      <c r="A139" s="3" t="s">
        <v>223</v>
      </c>
      <c r="B139" s="1" t="s">
        <v>224</v>
      </c>
      <c r="C139" s="1" t="s">
        <v>175</v>
      </c>
      <c r="D139" s="1" t="s">
        <v>225</v>
      </c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5" t="str">
        <f>IFERROR(IF(E139=ROUND(SUM(E145:E146),1)," "," Стр. 100, Гр. 1 [E139]  д.б. = [Окр(Сум(E145:E146),1)] {" &amp; ROUND(SUM(E145:E146),1) &amp; "}.")," ") &amp; IFERROR(IF(F139=ROUND(SUM(F145:F146),1)," "," Стр. 100, Гр. 2 [F139]  д.б. = [Окр(Сум(F145:F146),1)] {" &amp; ROUND(SUM(F145:F146),1) &amp; "}.")," ") &amp; IFERROR(IF(G139=ROUND(SUM(G145:G146),1)," "," Стр. 100, Гр. 3 [G139]  д.б. = [Окр(Сум(G145:G146),1)] {" &amp; ROUND(SUM(G145:G146),1) &amp; "}.")," ") &amp; IFERROR(IF(H139=ROUND(SUM(H145:H146),1)," "," Стр. 100, Гр. 4 [H139]  д.б. = [Окр(Сум(H145:H146),1)] {" &amp; ROUND(SUM(H145:H146),1) &amp; "}.")," ") &amp; IFERROR(IF(I139=ROUND(G145/G6*100,1)," "," Стр. 100, Гр. 5 [I139]  д.б. = [Окр(G145/G6*100,1)] {" &amp; ROUND(G145/G6*100,1) &amp; "}.")," ") &amp; IFERROR(IF(J139=ROUND(H145/H6*100,1)," "," Стр. 100, Гр. 6 [J139]  д.б. = [Окр(H145/H6*100,1)] {" &amp; ROUND(H145/H6*100,1) &amp; "}.")," ") &amp; IFERROR(IF(K139=ROUND(G143/E143,1)," "," Стр. 100, Гр. 7 [K139]  д.б. = [Окр(G143/E143,1)] {" &amp; ROUND(G143/E143,1) &amp; "}.")," ") &amp; IFERROR(IF(L139=ROUND(H143/F143,1)," "," Стр. 100, Гр. 8 [L139]  д.б. = [Окр(H143/F143,1)] {" &amp; ROUND(H143/F143,1) &amp; "}.")," ") &amp; IFERROR(IF(M139=ROUND(K143/L143*100,1)," "," Стр. 100, Гр. 9 [M139]  д.б. = [Окр(K143/L143*100,1)] {" &amp; ROUND(K143/L143*100,1) &amp; "}.")," ") &amp; IFERROR(IF(N139=ROUND(E143/F143*100,1)," "," Стр. 100, Гр. 10 [N139]  д.б. = [Окр(E143/F143*100,1)] {" &amp; ROUND(E143/F143*100,1) &amp; "}.")," ") &amp; IFERROR(IF(O139=ROUND(G143/H143*100,1)," "," Стр. 100, Гр. 11 [O139]  д.б. = [Окр(G143/H143*100,1)] {" &amp; ROUND(G143/H143*100,1) &amp; "}.")," ") &amp; IFERROR(IF(P139=ROUND(SUM(P145:P146),1)," "," Стр. 100, Гр. 12 [P139]  д.б. = [Окр(Сум(P145:P146),1)] {" &amp; ROUND(SUM(P145:P146),1) &amp; "}.")," ") &amp; IFERROR(IF(Q139=ROUND(SUM(Q145:Q146),1)," "," Стр. 100, Гр. 13 [Q139]  д.б. = [Окр(Сум(Q145:Q146),1)] {" &amp; ROUND(SUM(Q145:Q146),1) &amp; "}.")," ")</f>
        <v xml:space="preserve">             </v>
      </c>
    </row>
    <row r="140" spans="1:20" ht="45" customHeight="1" x14ac:dyDescent="0.25">
      <c r="A140" s="3" t="s">
        <v>57</v>
      </c>
      <c r="B140" s="1"/>
      <c r="C140" s="1" t="s">
        <v>1</v>
      </c>
      <c r="D140" s="1" t="s">
        <v>1</v>
      </c>
      <c r="E140" s="63"/>
      <c r="F140" s="63"/>
      <c r="G140" s="63"/>
      <c r="H140" s="63"/>
      <c r="I140" s="63"/>
      <c r="J140" s="63"/>
      <c r="K140" s="63"/>
      <c r="L140" s="63"/>
      <c r="M140" s="63"/>
      <c r="N140" s="63"/>
      <c r="O140" s="63"/>
      <c r="P140" s="63"/>
      <c r="Q140" s="63"/>
      <c r="R140" s="63"/>
      <c r="S140" s="63"/>
    </row>
    <row r="141" spans="1:20" ht="45" customHeight="1" x14ac:dyDescent="0.25">
      <c r="A141" s="3" t="s">
        <v>58</v>
      </c>
      <c r="B141" s="1" t="s">
        <v>226</v>
      </c>
      <c r="C141" s="1" t="s">
        <v>1</v>
      </c>
      <c r="D141" s="1" t="s">
        <v>1</v>
      </c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5" t="str">
        <f>IFERROR(IF(I141=ROUND(G145/G8*100,1)," "," Стр. 101, Гр. 5 [I141]  д.б. = [Окр(G145/G8*100,1)] {" &amp; ROUND(G145/G8*100,1) &amp; "}.")," ") &amp; IFERROR(IF(J141=ROUND(H145/H8*100,1)," "," Стр. 101, Гр. 6 [J141]  д.б. = [Окр(H145/H8*100,1)] {" &amp; ROUND(H145/H8*100,1) &amp; "}.")," ") &amp; IFERROR(IF(K141=ROUND(G145/E145,1)," "," Стр. 101, Гр. 7 [K141]  д.б. = [Окр(G145/E145,1)] {" &amp; ROUND(G145/E145,1) &amp; "}.")," ") &amp; IFERROR(IF(L141=ROUND(H145/F145,1)," "," Стр. 101, Гр. 8 [L141]  д.б. = [Окр(H145/F145,1)] {" &amp; ROUND(H145/F145,1) &amp; "}.")," ") &amp; IFERROR(IF(M141=ROUND(K145/L145*100,1)," "," Стр. 101, Гр. 9 [M141]  д.б. = [Окр(K145/L145*100,1)] {" &amp; ROUND(K145/L145*100,1) &amp; "}.")," ") &amp; IFERROR(IF(N141=ROUND(E145/F145*100,1)," "," Стр. 101, Гр. 10 [N141]  д.б. = [Окр(E145/F145*100,1)] {" &amp; ROUND(E145/F145*100,1) &amp; "}.")," ") &amp; IFERROR(IF(O141=ROUND(G145/H145*100,1)," "," Стр. 101, Гр. 11 [O141]  д.б. = [Окр(G145/H145*100,1)] {" &amp; ROUND(G145/H145*100,1) &amp; "}.")," ") &amp; IFERROR(IF(P141=ROUND(E145/E143*100,1)," "," Стр. 101, Гр. 12 [P141]  д.б. = [Окр(E145/E143*100,1)] {" &amp; ROUND(E145/E143*100,1) &amp; "}.")," ") &amp; IFERROR(IF(Q141=ROUND(F145/F143*100,1)," "," Стр. 101, Гр. 13 [Q141]  д.б. = [Окр(F145/F143*100,1)] {" &amp; ROUND(F145/F143*100,1) &amp; "}.")," ") &amp; IFERROR(IF(R141=ROUND(K145/K146*100,1)," "," Стр. 101, Гр. 14 [R141]  д.б. = [Окр(K145/K146*100,1)] {" &amp; ROUND(K145/K146*100,1) &amp; "}.")," ") &amp; IFERROR(IF(S141=ROUND(L145/L146*100,1)," "," Стр. 101, Гр. 15 [S141]  д.б. = [Окр(L145/L146*100,1)] {" &amp; ROUND(L145/L146*100,1) &amp; "}.")," ")</f>
        <v xml:space="preserve">           </v>
      </c>
    </row>
    <row r="142" spans="1:20" ht="45" customHeight="1" x14ac:dyDescent="0.25">
      <c r="A142" s="3" t="s">
        <v>60</v>
      </c>
      <c r="B142" s="1" t="s">
        <v>227</v>
      </c>
      <c r="C142" s="1" t="s">
        <v>1</v>
      </c>
      <c r="D142" s="1" t="s">
        <v>1</v>
      </c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5" t="str">
        <f>IFERROR(IF(I142=ROUND(G146/G9*100,1)," "," Стр. 102, Гр. 5 [I142]  д.б. = [Окр(G146/G9*100,1)] {" &amp; ROUND(G146/G9*100,1) &amp; "}.")," ") &amp; IFERROR(IF(J142=ROUND(H146/H9*100,1)," "," Стр. 102, Гр. 6 [J142]  д.б. = [Окр(H146/H9*100,1)] {" &amp; ROUND(H146/H9*100,1) &amp; "}.")," ") &amp; IFERROR(IF(K142=ROUND(G146/E146,1)," "," Стр. 102, Гр. 7 [K142]  д.б. = [Окр(G146/E146,1)] {" &amp; ROUND(G146/E146,1) &amp; "}.")," ") &amp; IFERROR(IF(L142=ROUND(H146/F146,1)," "," Стр. 102, Гр. 8 [L142]  д.б. = [Окр(H146/F146,1)] {" &amp; ROUND(H146/F146,1) &amp; "}.")," ") &amp; IFERROR(IF(M142=ROUND(K146/L146*100,1)," "," Стр. 102, Гр. 9 [M142]  д.б. = [Окр(K146/L146*100,1)] {" &amp; ROUND(K146/L146*100,1) &amp; "}.")," ") &amp; IFERROR(IF(N142=ROUND(E146/F146*100,1)," "," Стр. 102, Гр. 10 [N142]  д.б. = [Окр(E146/F146*100,1)] {" &amp; ROUND(E146/F146*100,1) &amp; "}.")," ") &amp; IFERROR(IF(O142=ROUND(G146/H146*100,1)," "," Стр. 102, Гр. 11 [O142]  д.б. = [Окр(G146/H146*100,1)] {" &amp; ROUND(G146/H146*100,1) &amp; "}.")," ") &amp; IFERROR(IF(P142=ROUND(E146/E143*100,1)," "," Стр. 102, Гр. 12 [P142]  д.б. = [Окр(E146/E143*100,1)] {" &amp; ROUND(E146/E143*100,1) &amp; "}.")," ") &amp; IFERROR(IF(Q142=ROUND(F146/F143*100,1)," "," Стр. 102, Гр. 13 [Q142]  д.б. = [Окр(F146/F143*100,1)] {" &amp; ROUND(F146/F143*100,1) &amp; "}.")," ") &amp; IFERROR(IF(R142=ROUND(K146/K145*100,1)," "," Стр. 102, Гр. 14 [R142]  д.б. = [Окр(K146/K145*100,1)] {" &amp; ROUND(K146/K145*100,1) &amp; "}.")," ") &amp; IFERROR(IF(S142=ROUND(L146/L145*100,1)," "," Стр. 102, Гр. 15 [S142]  д.б. = [Окр(L146/L145*100,1)] {" &amp; ROUND(L146/L145*100,1) &amp; "}.")," ")</f>
        <v xml:space="preserve">           </v>
      </c>
    </row>
    <row r="143" spans="1:20" ht="45" customHeight="1" x14ac:dyDescent="0.25">
      <c r="A143" s="3" t="s">
        <v>228</v>
      </c>
      <c r="B143" s="1" t="s">
        <v>229</v>
      </c>
      <c r="C143" s="1" t="s">
        <v>230</v>
      </c>
      <c r="D143" s="1" t="s">
        <v>56</v>
      </c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5" t="str">
        <f>IFERROR(IF(E143=ROUND(SUM(E149:E150),1)," "," Стр. 103, Гр. 1 [E143]  д.б. = [Окр(Сум(E149:E150),1)] {" &amp; ROUND(SUM(E149:E150),1) &amp; "}.")," ") &amp; IFERROR(IF(F143=ROUND(SUM(F149:F150),1)," "," Стр. 103, Гр. 2 [F143]  д.б. = [Окр(Сум(F149:F150),1)] {" &amp; ROUND(SUM(F149:F150),1) &amp; "}.")," ") &amp; IFERROR(IF(G143=ROUND(SUM(G149:G150),1)," "," Стр. 103, Гр. 3 [G143]  д.б. = [Окр(Сум(G149:G150),1)] {" &amp; ROUND(SUM(G149:G150),1) &amp; "}.")," ") &amp; IFERROR(IF(H143=ROUND(SUM(H149:H150),1)," "," Стр. 103, Гр. 4 [H143]  д.б. = [Окр(Сум(H149:H150),1)] {" &amp; ROUND(SUM(H149:H150),1) &amp; "}.")," ") &amp; IFERROR(IF(I143=ROUND(G147/G6*100,1)," "," Стр. 103, Гр. 5 [I143]  д.б. = [Окр(G147/G6*100,1)] {" &amp; ROUND(G147/G6*100,1) &amp; "}.")," ") &amp; IFERROR(IF(J143=ROUND(H147/H6*100,1)," "," Стр. 103, Гр. 6 [J143]  д.б. = [Окр(H147/H6*100,1)] {" &amp; ROUND(H147/H6*100,1) &amp; "}.")," ") &amp; IFERROR(IF(K143=ROUND(G147/E147*1000,1)," "," Стр. 103, Гр. 7 [K143]  д.б. = [Окр(G147/E147*1000,1)] {" &amp; ROUND(G147/E147*1000,1) &amp; "}.")," ") &amp; IFERROR(IF(L143=ROUND(H147/F147*1000,1)," "," Стр. 103, Гр. 8 [L143]  д.б. = [Окр(H147/F147*1000,1)] {" &amp; ROUND(H147/F147*1000,1) &amp; "}.")," ") &amp; IFERROR(IF(M143=ROUND(K147/L147*100,1)," "," Стр. 103, Гр. 9 [M143]  д.б. = [Окр(K147/L147*100,1)] {" &amp; ROUND(K147/L147*100,1) &amp; "}.")," ") &amp; IFERROR(IF(N143=ROUND(E147/F147*100,1)," "," Стр. 103, Гр. 10 [N143]  д.б. = [Окр(E147/F147*100,1)] {" &amp; ROUND(E147/F147*100,1) &amp; "}.")," ") &amp; IFERROR(IF(O143=ROUND(G147/H147*100,1)," "," Стр. 103, Гр. 11 [O143]  д.б. = [Окр(G147/H147*100,1)] {" &amp; ROUND(G147/H147*100,1) &amp; "}.")," ") &amp; IFERROR(IF(P143=ROUND(SUM(P149:P150),1)," "," Стр. 103, Гр. 12 [P143]  д.б. = [Окр(Сум(P149:P150),1)] {" &amp; ROUND(SUM(P149:P150),1) &amp; "}.")," ") &amp; IFERROR(IF(Q143=ROUND(SUM(Q149:Q150),1)," "," Стр. 103, Гр. 13 [Q143]  д.б. = [Окр(Сум(Q149:Q150),1)] {" &amp; ROUND(SUM(Q149:Q150),1) &amp; "}.")," ")</f>
        <v xml:space="preserve">             </v>
      </c>
    </row>
    <row r="144" spans="1:20" ht="45" customHeight="1" x14ac:dyDescent="0.25">
      <c r="A144" s="3" t="s">
        <v>57</v>
      </c>
      <c r="B144" s="1"/>
      <c r="C144" s="1" t="s">
        <v>1</v>
      </c>
      <c r="D144" s="1" t="s">
        <v>1</v>
      </c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  <c r="Q144" s="63"/>
      <c r="R144" s="63"/>
      <c r="S144" s="63"/>
    </row>
    <row r="145" spans="1:20" ht="45" customHeight="1" x14ac:dyDescent="0.25">
      <c r="A145" s="3" t="s">
        <v>58</v>
      </c>
      <c r="B145" s="1" t="s">
        <v>231</v>
      </c>
      <c r="C145" s="1" t="s">
        <v>1</v>
      </c>
      <c r="D145" s="1" t="s">
        <v>1</v>
      </c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5" t="str">
        <f>IFERROR(IF(I145=ROUND(G149/G8*100,1)," "," Стр. 104, Гр. 5 [I145]  д.б. = [Окр(G149/G8*100,1)] {" &amp; ROUND(G149/G8*100,1) &amp; "}.")," ") &amp; IFERROR(IF(J145=ROUND(H149/H8*100,1)," "," Стр. 104, Гр. 6 [J145]  д.б. = [Окр(H149/H8*100,1)] {" &amp; ROUND(H149/H8*100,1) &amp; "}.")," ") &amp; IFERROR(IF(K145=ROUND(G149/E149*1000,1)," "," Стр. 104, Гр. 7 [K145]  д.б. = [Окр(G149/E149*1000,1)] {" &amp; ROUND(G149/E149*1000,1) &amp; "}.")," ") &amp; IFERROR(IF(L145=ROUND(H149/F149*1000,1)," "," Стр. 104, Гр. 8 [L145]  д.б. = [Окр(H149/F149*1000,1)] {" &amp; ROUND(H149/F149*1000,1) &amp; "}.")," ") &amp; IFERROR(IF(M145=ROUND(K149/L149*100,1)," "," Стр. 104, Гр. 9 [M145]  д.б. = [Окр(K149/L149*100,1)] {" &amp; ROUND(K149/L149*100,1) &amp; "}.")," ") &amp; IFERROR(IF(N145=ROUND(E149/F149*100,1)," "," Стр. 104, Гр. 10 [N145]  д.б. = [Окр(E149/F149*100,1)] {" &amp; ROUND(E149/F149*100,1) &amp; "}.")," ") &amp; IFERROR(IF(O145=ROUND(G149/H149*100,1)," "," Стр. 104, Гр. 11 [O145]  д.б. = [Окр(G149/H149*100,1)] {" &amp; ROUND(G149/H149*100,1) &amp; "}.")," ") &amp; IFERROR(IF(P145=ROUND(E149/E147*100,1)," "," Стр. 104, Гр. 12 [P145]  д.б. = [Окр(E149/E147*100,1)] {" &amp; ROUND(E149/E147*100,1) &amp; "}.")," ") &amp; IFERROR(IF(Q145=ROUND(F149/F147*100,1)," "," Стр. 104, Гр. 13 [Q145]  д.б. = [Окр(F149/F147*100,1)] {" &amp; ROUND(F149/F147*100,1) &amp; "}.")," ") &amp; IFERROR(IF(R145=ROUND(K149/K150*100,1)," "," Стр. 104, Гр. 14 [R145]  д.б. = [Окр(K149/K150*100,1)] {" &amp; ROUND(K149/K150*100,1) &amp; "}.")," ") &amp; IFERROR(IF(S145=ROUND(L149/L150*100,1)," "," Стр. 104, Гр. 15 [S145]  д.б. = [Окр(L149/L150*100,1)] {" &amp; ROUND(L149/L150*100,1) &amp; "}.")," ")</f>
        <v xml:space="preserve">           </v>
      </c>
    </row>
    <row r="146" spans="1:20" ht="45" customHeight="1" x14ac:dyDescent="0.25">
      <c r="A146" s="3" t="s">
        <v>60</v>
      </c>
      <c r="B146" s="1" t="s">
        <v>232</v>
      </c>
      <c r="C146" s="1" t="s">
        <v>1</v>
      </c>
      <c r="D146" s="1" t="s">
        <v>1</v>
      </c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5" t="str">
        <f>IFERROR(IF(I146=ROUND(G150/G9*100,1)," "," Стр. 105, Гр. 5 [I146]  д.б. = [Окр(G150/G9*100,1)] {" &amp; ROUND(G150/G9*100,1) &amp; "}.")," ") &amp; IFERROR(IF(J146=ROUND(H150/H9*100,1)," "," Стр. 105, Гр. 6 [J146]  д.б. = [Окр(H150/H9*100,1)] {" &amp; ROUND(H150/H9*100,1) &amp; "}.")," ") &amp; IFERROR(IF(K146=ROUND(G150/E150*1000,1)," "," Стр. 105, Гр. 7 [K146]  д.б. = [Окр(G150/E150*1000,1)] {" &amp; ROUND(G150/E150*1000,1) &amp; "}.")," ") &amp; IFERROR(IF(L146=ROUND(H150/F150*1000,1)," "," Стр. 105, Гр. 8 [L146]  д.б. = [Окр(H150/F150*1000,1)] {" &amp; ROUND(H150/F150*1000,1) &amp; "}.")," ") &amp; IFERROR(IF(M146=ROUND(K150/L150*100,1)," "," Стр. 105, Гр. 9 [M146]  д.б. = [Окр(K150/L150*100,1)] {" &amp; ROUND(K150/L150*100,1) &amp; "}.")," ") &amp; IFERROR(IF(N146=ROUND(E150/F150*100,1)," "," Стр. 105, Гр. 10 [N146]  д.б. = [Окр(E150/F150*100,1)] {" &amp; ROUND(E150/F150*100,1) &amp; "}.")," ") &amp; IFERROR(IF(O146=ROUND(G150/H150*100,1)," "," Стр. 105, Гр. 11 [O146]  д.б. = [Окр(G150/H150*100,1)] {" &amp; ROUND(G150/H150*100,1) &amp; "}.")," ") &amp; IFERROR(IF(P146=ROUND(E150/E147*100,1)," "," Стр. 105, Гр. 12 [P146]  д.б. = [Окр(E150/E147*100,1)] {" &amp; ROUND(E150/E147*100,1) &amp; "}.")," ") &amp; IFERROR(IF(Q146=ROUND(F150/F147*100,1)," "," Стр. 105, Гр. 13 [Q146]  д.б. = [Окр(F150/F147*100,1)] {" &amp; ROUND(F150/F147*100,1) &amp; "}.")," ") &amp; IFERROR(IF(R146=ROUND(K150/K149*100,1)," "," Стр. 105, Гр. 14 [R146]  д.б. = [Окр(K150/K149*100,1)] {" &amp; ROUND(K150/K149*100,1) &amp; "}.")," ") &amp; IFERROR(IF(S146=ROUND(L150/L149*100,1)," "," Стр. 105, Гр. 15 [S146]  д.б. = [Окр(L150/L149*100,1)] {" &amp; ROUND(L150/L149*100,1) &amp; "}.")," ")</f>
        <v xml:space="preserve">           </v>
      </c>
    </row>
    <row r="147" spans="1:20" ht="45" customHeight="1" x14ac:dyDescent="0.25">
      <c r="A147" s="3" t="s">
        <v>233</v>
      </c>
      <c r="B147" s="1" t="s">
        <v>234</v>
      </c>
      <c r="C147" s="1" t="s">
        <v>235</v>
      </c>
      <c r="D147" s="1" t="s">
        <v>56</v>
      </c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5" t="str">
        <f>IFERROR(IF(E147=ROUND(SUM(E153:E154),1)," "," Стр. 106, Гр. 1 [E147]  д.б. = [Окр(Сум(E153:E154),1)] {" &amp; ROUND(SUM(E153:E154),1) &amp; "}.")," ") &amp; IFERROR(IF(F147=ROUND(SUM(F153:F154),1)," "," Стр. 106, Гр. 2 [F147]  д.б. = [Окр(Сум(F153:F154),1)] {" &amp; ROUND(SUM(F153:F154),1) &amp; "}.")," ") &amp; IFERROR(IF(G147=ROUND(SUM(G153:G154),1)," "," Стр. 106, Гр. 3 [G147]  д.б. = [Окр(Сум(G153:G154),1)] {" &amp; ROUND(SUM(G153:G154),1) &amp; "}.")," ") &amp; IFERROR(IF(H147=ROUND(SUM(H153:H154),1)," "," Стр. 106, Гр. 4 [H147]  д.б. = [Окр(Сум(H153:H154),1)] {" &amp; ROUND(SUM(H153:H154),1) &amp; "}.")," ") &amp; IFERROR(IF(I147=ROUND(G151/G6*100,1)," "," Стр. 106, Гр. 5 [I147]  д.б. = [Окр(G151/G6*100,1)] {" &amp; ROUND(G151/G6*100,1) &amp; "}.")," ") &amp; IFERROR(IF(J147=ROUND(H151/H6*100,1)," "," Стр. 106, Гр. 6 [J147]  д.б. = [Окр(H151/H6*100,1)] {" &amp; ROUND(H151/H6*100,1) &amp; "}.")," ") &amp; IFERROR(IF(K147=ROUND(G151/E151*1000,1)," "," Стр. 106, Гр. 7 [K147]  д.б. = [Окр(G151/E151*1000,1)] {" &amp; ROUND(G151/E151*1000,1) &amp; "}.")," ") &amp; IFERROR(IF(L147=ROUND(H151/F151*1000,1)," "," Стр. 106, Гр. 8 [L147]  д.б. = [Окр(H151/F151*1000,1)] {" &amp; ROUND(H151/F151*1000,1) &amp; "}.")," ") &amp; IFERROR(IF(M147=ROUND(K151/L151*100,1)," "," Стр. 106, Гр. 9 [M147]  д.б. = [Окр(K151/L151*100,1)] {" &amp; ROUND(K151/L151*100,1) &amp; "}.")," ") &amp; IFERROR(IF(N147=ROUND(E151/F151*100,1)," "," Стр. 106, Гр. 10 [N147]  д.б. = [Окр(E151/F151*100,1)] {" &amp; ROUND(E151/F151*100,1) &amp; "}.")," ") &amp; IFERROR(IF(O147=ROUND(G151/H151*100,1)," "," Стр. 106, Гр. 11 [O147]  д.б. = [Окр(G151/H151*100,1)] {" &amp; ROUND(G151/H151*100,1) &amp; "}.")," ") &amp; IFERROR(IF(P147=ROUND(SUM(P153:P154),1)," "," Стр. 106, Гр. 12 [P147]  д.б. = [Окр(Сум(P153:P154),1)] {" &amp; ROUND(SUM(P153:P154),1) &amp; "}.")," ") &amp; IFERROR(IF(Q147=ROUND(SUM(Q153:Q154),1)," "," Стр. 106, Гр. 13 [Q147]  д.б. = [Окр(Сум(Q153:Q154),1)] {" &amp; ROUND(SUM(Q153:Q154),1) &amp; "}.")," ")</f>
        <v xml:space="preserve">             </v>
      </c>
    </row>
    <row r="148" spans="1:20" ht="45" customHeight="1" x14ac:dyDescent="0.25">
      <c r="A148" s="3" t="s">
        <v>57</v>
      </c>
      <c r="B148" s="1"/>
      <c r="C148" s="1" t="s">
        <v>1</v>
      </c>
      <c r="D148" s="1" t="s">
        <v>1</v>
      </c>
      <c r="E148" s="63"/>
      <c r="F148" s="63"/>
      <c r="G148" s="63"/>
      <c r="H148" s="63"/>
      <c r="I148" s="63"/>
      <c r="J148" s="63"/>
      <c r="K148" s="63"/>
      <c r="L148" s="63"/>
      <c r="M148" s="63"/>
      <c r="N148" s="63"/>
      <c r="O148" s="63"/>
      <c r="P148" s="63"/>
      <c r="Q148" s="63"/>
      <c r="R148" s="63"/>
      <c r="S148" s="63"/>
    </row>
    <row r="149" spans="1:20" ht="45" customHeight="1" x14ac:dyDescent="0.25">
      <c r="A149" s="3" t="s">
        <v>58</v>
      </c>
      <c r="B149" s="1" t="s">
        <v>236</v>
      </c>
      <c r="C149" s="1" t="s">
        <v>1</v>
      </c>
      <c r="D149" s="1" t="s">
        <v>1</v>
      </c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5" t="str">
        <f>IFERROR(IF(I149=ROUND(G153/G8*100,1)," "," Стр. 107, Гр. 5 [I149]  д.б. = [Окр(G153/G8*100,1)] {" &amp; ROUND(G153/G8*100,1) &amp; "}.")," ") &amp; IFERROR(IF(J149=ROUND(H153/H8*100,1)," "," Стр. 107, Гр. 6 [J149]  д.б. = [Окр(H153/H8*100,1)] {" &amp; ROUND(H153/H8*100,1) &amp; "}.")," ") &amp; IFERROR(IF(K149=ROUND(G153/E153*1000,1)," "," Стр. 107, Гр. 7 [K149]  д.б. = [Окр(G153/E153*1000,1)] {" &amp; ROUND(G153/E153*1000,1) &amp; "}.")," ") &amp; IFERROR(IF(L149=ROUND(H153/F153*1000,1)," "," Стр. 107, Гр. 8 [L149]  д.б. = [Окр(H153/F153*1000,1)] {" &amp; ROUND(H153/F153*1000,1) &amp; "}.")," ") &amp; IFERROR(IF(M149=ROUND(K153/L153*100,1)," "," Стр. 107, Гр. 9 [M149]  д.б. = [Окр(K153/L153*100,1)] {" &amp; ROUND(K153/L153*100,1) &amp; "}.")," ") &amp; IFERROR(IF(N149=ROUND(E153/F153*100,1)," "," Стр. 107, Гр. 10 [N149]  д.б. = [Окр(E153/F153*100,1)] {" &amp; ROUND(E153/F153*100,1) &amp; "}.")," ") &amp; IFERROR(IF(O149=ROUND(G153/H153*100,1)," "," Стр. 107, Гр. 11 [O149]  д.б. = [Окр(G153/H153*100,1)] {" &amp; ROUND(G153/H153*100,1) &amp; "}.")," ") &amp; IFERROR(IF(P149=ROUND(E153/E151*100,1)," "," Стр. 107, Гр. 12 [P149]  д.б. = [Окр(E153/E151*100,1)] {" &amp; ROUND(E153/E151*100,1) &amp; "}.")," ") &amp; IFERROR(IF(Q149=ROUND(F153/F151*100,1)," "," Стр. 107, Гр. 13 [Q149]  д.б. = [Окр(F153/F151*100,1)] {" &amp; ROUND(F153/F151*100,1) &amp; "}.")," ") &amp; IFERROR(IF(R149=ROUND(K153/K154*100,1)," "," Стр. 107, Гр. 14 [R149]  д.б. = [Окр(K153/K154*100,1)] {" &amp; ROUND(K153/K154*100,1) &amp; "}.")," ") &amp; IFERROR(IF(S149=ROUND(L153/L154*100,1)," "," Стр. 107, Гр. 15 [S149]  д.б. = [Окр(L153/L154*100,1)] {" &amp; ROUND(L153/L154*100,1) &amp; "}.")," ")</f>
        <v xml:space="preserve">           </v>
      </c>
    </row>
    <row r="150" spans="1:20" ht="45" customHeight="1" x14ac:dyDescent="0.25">
      <c r="A150" s="3" t="s">
        <v>60</v>
      </c>
      <c r="B150" s="1" t="s">
        <v>237</v>
      </c>
      <c r="C150" s="1" t="s">
        <v>1</v>
      </c>
      <c r="D150" s="1" t="s">
        <v>1</v>
      </c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5" t="str">
        <f>IFERROR(IF(I150=ROUND(G154/G9*100,1)," "," Стр. 108, Гр. 5 [I150]  д.б. = [Окр(G154/G9*100,1)] {" &amp; ROUND(G154/G9*100,1) &amp; "}.")," ") &amp; IFERROR(IF(J150=ROUND(H154/H9*100,1)," "," Стр. 108, Гр. 6 [J150]  д.б. = [Окр(H154/H9*100,1)] {" &amp; ROUND(H154/H9*100,1) &amp; "}.")," ") &amp; IFERROR(IF(K150=ROUND(G154/E154*1000,1)," "," Стр. 108, Гр. 7 [K150]  д.б. = [Окр(G154/E154*1000,1)] {" &amp; ROUND(G154/E154*1000,1) &amp; "}.")," ") &amp; IFERROR(IF(L150=ROUND(H154/F154*1000,1)," "," Стр. 108, Гр. 8 [L150]  д.б. = [Окр(H154/F154*1000,1)] {" &amp; ROUND(H154/F154*1000,1) &amp; "}.")," ") &amp; IFERROR(IF(M150=ROUND(K154/L154*100,1)," "," Стр. 108, Гр. 9 [M150]  д.б. = [Окр(K154/L154*100,1)] {" &amp; ROUND(K154/L154*100,1) &amp; "}.")," ") &amp; IFERROR(IF(N150=ROUND(E154/F154*100,1)," "," Стр. 108, Гр. 10 [N150]  д.б. = [Окр(E154/F154*100,1)] {" &amp; ROUND(E154/F154*100,1) &amp; "}.")," ") &amp; IFERROR(IF(O150=ROUND(G154/H154*100,1)," "," Стр. 108, Гр. 11 [O150]  д.б. = [Окр(G154/H154*100,1)] {" &amp; ROUND(G154/H154*100,1) &amp; "}.")," ") &amp; IFERROR(IF(P150=ROUND(E154/E151*100,1)," "," Стр. 108, Гр. 12 [P150]  д.б. = [Окр(E154/E151*100,1)] {" &amp; ROUND(E154/E151*100,1) &amp; "}.")," ") &amp; IFERROR(IF(Q150=ROUND(F154/F151*100,1)," "," Стр. 108, Гр. 13 [Q150]  д.б. = [Окр(F154/F151*100,1)] {" &amp; ROUND(F154/F151*100,1) &amp; "}.")," ") &amp; IFERROR(IF(R150=ROUND(K154/K153*100,1)," "," Стр. 108, Гр. 14 [R150]  д.б. = [Окр(K154/K153*100,1)] {" &amp; ROUND(K154/K153*100,1) &amp; "}.")," ") &amp; IFERROR(IF(S150=ROUND(L154/L153*100,1)," "," Стр. 108, Гр. 15 [S150]  д.б. = [Окр(L154/L153*100,1)] {" &amp; ROUND(L154/L153*100,1) &amp; "}.")," ")</f>
        <v xml:space="preserve">           </v>
      </c>
    </row>
    <row r="151" spans="1:20" ht="45" customHeight="1" x14ac:dyDescent="0.25">
      <c r="A151" s="3" t="s">
        <v>238</v>
      </c>
      <c r="B151" s="1" t="s">
        <v>239</v>
      </c>
      <c r="C151" s="1" t="s">
        <v>240</v>
      </c>
      <c r="D151" s="1" t="s">
        <v>56</v>
      </c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5" t="str">
        <f>IFERROR(IF(E151=ROUND(SUM(E157:E158),1)," "," Стр. 109, Гр. 1 [E151]  д.б. = [Окр(Сум(E157:E158),1)] {" &amp; ROUND(SUM(E157:E158),1) &amp; "}.")," ") &amp; IFERROR(IF(F151=ROUND(SUM(F157:F158),1)," "," Стр. 109, Гр. 2 [F151]  д.б. = [Окр(Сум(F157:F158),1)] {" &amp; ROUND(SUM(F157:F158),1) &amp; "}.")," ") &amp; IFERROR(IF(G151=ROUND(SUM(G157:G158),1)," "," Стр. 109, Гр. 3 [G151]  д.б. = [Окр(Сум(G157:G158),1)] {" &amp; ROUND(SUM(G157:G158),1) &amp; "}.")," ") &amp; IFERROR(IF(H151=ROUND(SUM(H157:H158),1)," "," Стр. 109, Гр. 4 [H151]  д.б. = [Окр(Сум(H157:H158),1)] {" &amp; ROUND(SUM(H157:H158),1) &amp; "}.")," ") &amp; IFERROR(IF(I151=ROUND(G155/G6*100,1)," "," Стр. 109, Гр. 5 [I151]  д.б. = [Окр(G155/G6*100,1)] {" &amp; ROUND(G155/G6*100,1) &amp; "}.")," ") &amp; IFERROR(IF(J151=ROUND(H155/H6*100,1)," "," Стр. 109, Гр. 6 [J151]  д.б. = [Окр(H155/H6*100,1)] {" &amp; ROUND(H155/H6*100,1) &amp; "}.")," ") &amp; IFERROR(IF(K151=ROUND(G155/E155*1000,1)," "," Стр. 109, Гр. 7 [K151]  д.б. = [Окр(G155/E155*1000,1)] {" &amp; ROUND(G155/E155*1000,1) &amp; "}.")," ") &amp; IFERROR(IF(L151=ROUND(H155/F155*1000,1)," "," Стр. 109, Гр. 8 [L151]  д.б. = [Окр(H155/F155*1000,1)] {" &amp; ROUND(H155/F155*1000,1) &amp; "}.")," ") &amp; IFERROR(IF(M151=ROUND(K155/L155*100,1)," "," Стр. 109, Гр. 9 [M151]  д.б. = [Окр(K155/L155*100,1)] {" &amp; ROUND(K155/L155*100,1) &amp; "}.")," ") &amp; IFERROR(IF(N151=ROUND(E155/F155*100,1)," "," Стр. 109, Гр. 10 [N151]  д.б. = [Окр(E155/F155*100,1)] {" &amp; ROUND(E155/F155*100,1) &amp; "}.")," ") &amp; IFERROR(IF(O151=ROUND(G155/H155*100,1)," "," Стр. 109, Гр. 11 [O151]  д.б. = [Окр(G155/H155*100,1)] {" &amp; ROUND(G155/H155*100,1) &amp; "}.")," ") &amp; IFERROR(IF(P151=ROUND(SUM(P157:P158),1)," "," Стр. 109, Гр. 12 [P151]  д.б. = [Окр(Сум(P157:P158),1)] {" &amp; ROUND(SUM(P157:P158),1) &amp; "}.")," ") &amp; IFERROR(IF(Q151=ROUND(SUM(Q157:Q158),1)," "," Стр. 109, Гр. 13 [Q151]  д.б. = [Окр(Сум(Q157:Q158),1)] {" &amp; ROUND(SUM(Q157:Q158),1) &amp; "}.")," ")</f>
        <v xml:space="preserve">             </v>
      </c>
    </row>
    <row r="152" spans="1:20" ht="45" customHeight="1" x14ac:dyDescent="0.25">
      <c r="A152" s="3" t="s">
        <v>57</v>
      </c>
      <c r="B152" s="1"/>
      <c r="C152" s="1" t="s">
        <v>1</v>
      </c>
      <c r="D152" s="1" t="s">
        <v>1</v>
      </c>
      <c r="E152" s="63"/>
      <c r="F152" s="63"/>
      <c r="G152" s="63"/>
      <c r="H152" s="63"/>
      <c r="I152" s="63"/>
      <c r="J152" s="63"/>
      <c r="K152" s="63"/>
      <c r="L152" s="63"/>
      <c r="M152" s="63"/>
      <c r="N152" s="63"/>
      <c r="O152" s="63"/>
      <c r="P152" s="63"/>
      <c r="Q152" s="63"/>
      <c r="R152" s="63"/>
      <c r="S152" s="63"/>
    </row>
    <row r="153" spans="1:20" ht="45" customHeight="1" x14ac:dyDescent="0.25">
      <c r="A153" s="3" t="s">
        <v>58</v>
      </c>
      <c r="B153" s="1" t="s">
        <v>241</v>
      </c>
      <c r="C153" s="1" t="s">
        <v>1</v>
      </c>
      <c r="D153" s="1" t="s">
        <v>1</v>
      </c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5" t="str">
        <f>IFERROR(IF(I153=ROUND(G157/G8*100,1)," "," Стр. 110, Гр. 5 [I153]  д.б. = [Окр(G157/G8*100,1)] {" &amp; ROUND(G157/G8*100,1) &amp; "}.")," ") &amp; IFERROR(IF(J153=ROUND(H157/H8*100,1)," "," Стр. 110, Гр. 6 [J153]  д.б. = [Окр(H157/H8*100,1)] {" &amp; ROUND(H157/H8*100,1) &amp; "}.")," ") &amp; IFERROR(IF(K153=ROUND(G157/E157*1000,1)," "," Стр. 110, Гр. 7 [K153]  д.б. = [Окр(G157/E157*1000,1)] {" &amp; ROUND(G157/E157*1000,1) &amp; "}.")," ") &amp; IFERROR(IF(L153=ROUND(H157/F157*1000,1)," "," Стр. 110, Гр. 8 [L153]  д.б. = [Окр(H157/F157*1000,1)] {" &amp; ROUND(H157/F157*1000,1) &amp; "}.")," ") &amp; IFERROR(IF(M153=ROUND(K157/L157*100,1)," "," Стр. 110, Гр. 9 [M153]  д.б. = [Окр(K157/L157*100,1)] {" &amp; ROUND(K157/L157*100,1) &amp; "}.")," ") &amp; IFERROR(IF(N153=ROUND(E157/F157*100,1)," "," Стр. 110, Гр. 10 [N153]  д.б. = [Окр(E157/F157*100,1)] {" &amp; ROUND(E157/F157*100,1) &amp; "}.")," ") &amp; IFERROR(IF(O153=ROUND(G157/H157*100,1)," "," Стр. 110, Гр. 11 [O153]  д.б. = [Окр(G157/H157*100,1)] {" &amp; ROUND(G157/H157*100,1) &amp; "}.")," ") &amp; IFERROR(IF(P153=ROUND(E157/E155*100,1)," "," Стр. 110, Гр. 12 [P153]  д.б. = [Окр(E157/E155*100,1)] {" &amp; ROUND(E157/E155*100,1) &amp; "}.")," ") &amp; IFERROR(IF(Q153=ROUND(F157/F155*100,1)," "," Стр. 110, Гр. 13 [Q153]  д.б. = [Окр(F157/F155*100,1)] {" &amp; ROUND(F157/F155*100,1) &amp; "}.")," ") &amp; IFERROR(IF(R153=ROUND(K157/K158*100,1)," "," Стр. 110, Гр. 14 [R153]  д.б. = [Окр(K157/K158*100,1)] {" &amp; ROUND(K157/K158*100,1) &amp; "}.")," ") &amp; IFERROR(IF(S153=ROUND(L157/L158*100,1)," "," Стр. 110, Гр. 15 [S153]  д.б. = [Окр(L157/L158*100,1)] {" &amp; ROUND(L157/L158*100,1) &amp; "}.")," ")</f>
        <v xml:space="preserve">           </v>
      </c>
    </row>
    <row r="154" spans="1:20" ht="45" customHeight="1" x14ac:dyDescent="0.25">
      <c r="A154" s="3" t="s">
        <v>60</v>
      </c>
      <c r="B154" s="1" t="s">
        <v>242</v>
      </c>
      <c r="C154" s="1" t="s">
        <v>1</v>
      </c>
      <c r="D154" s="1" t="s">
        <v>1</v>
      </c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5" t="str">
        <f>IFERROR(IF(I154=ROUND(G158/G9*100,1)," "," Стр. 111, Гр. 5 [I154]  д.б. = [Окр(G158/G9*100,1)] {" &amp; ROUND(G158/G9*100,1) &amp; "}.")," ") &amp; IFERROR(IF(J154=ROUND(H158/H9*100,1)," "," Стр. 111, Гр. 6 [J154]  д.б. = [Окр(H158/H9*100,1)] {" &amp; ROUND(H158/H9*100,1) &amp; "}.")," ") &amp; IFERROR(IF(K154=ROUND(G158/E158*1000,1)," "," Стр. 111, Гр. 7 [K154]  д.б. = [Окр(G158/E158*1000,1)] {" &amp; ROUND(G158/E158*1000,1) &amp; "}.")," ") &amp; IFERROR(IF(L154=ROUND(H158/F158*1000,1)," "," Стр. 111, Гр. 8 [L154]  д.б. = [Окр(H158/F158*1000,1)] {" &amp; ROUND(H158/F158*1000,1) &amp; "}.")," ") &amp; IFERROR(IF(M154=ROUND(K158/L158*100,1)," "," Стр. 111, Гр. 9 [M154]  д.б. = [Окр(K158/L158*100,1)] {" &amp; ROUND(K158/L158*100,1) &amp; "}.")," ") &amp; IFERROR(IF(N154=ROUND(E158/F158*100,1)," "," Стр. 111, Гр. 10 [N154]  д.б. = [Окр(E158/F158*100,1)] {" &amp; ROUND(E158/F158*100,1) &amp; "}.")," ") &amp; IFERROR(IF(O154=ROUND(G158/H158*100,1)," "," Стр. 111, Гр. 11 [O154]  д.б. = [Окр(G158/H158*100,1)] {" &amp; ROUND(G158/H158*100,1) &amp; "}.")," ") &amp; IFERROR(IF(P154=ROUND(E158/E155*100,1)," "," Стр. 111, Гр. 12 [P154]  д.б. = [Окр(E158/E155*100,1)] {" &amp; ROUND(E158/E155*100,1) &amp; "}.")," ") &amp; IFERROR(IF(Q154=ROUND(F158/F155*100,1)," "," Стр. 111, Гр. 13 [Q154]  д.б. = [Окр(F158/F155*100,1)] {" &amp; ROUND(F158/F155*100,1) &amp; "}.")," ") &amp; IFERROR(IF(R154=ROUND(K158/K157*100,1)," "," Стр. 111, Гр. 14 [R154]  д.б. = [Окр(K158/K157*100,1)] {" &amp; ROUND(K158/K157*100,1) &amp; "}.")," ") &amp; IFERROR(IF(S154=ROUND(L158/L157*100,1)," "," Стр. 111, Гр. 15 [S154]  д.б. = [Окр(L158/L157*100,1)] {" &amp; ROUND(L158/L157*100,1) &amp; "}.")," ")</f>
        <v xml:space="preserve">           </v>
      </c>
    </row>
    <row r="155" spans="1:20" ht="45" customHeight="1" x14ac:dyDescent="0.25">
      <c r="A155" s="3" t="s">
        <v>243</v>
      </c>
      <c r="B155" s="1" t="s">
        <v>244</v>
      </c>
      <c r="C155" s="1" t="s">
        <v>245</v>
      </c>
      <c r="D155" s="1" t="s">
        <v>56</v>
      </c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5" t="str">
        <f>IFERROR(IF(E155=ROUND(SUM(E161:E162),1)," "," Стр. 112, Гр. 1 [E155]  д.б. = [Окр(Сум(E161:E162),1)] {" &amp; ROUND(SUM(E161:E162),1) &amp; "}.")," ") &amp; IFERROR(IF(F155=ROUND(SUM(F161:F162),1)," "," Стр. 112, Гр. 2 [F155]  д.б. = [Окр(Сум(F161:F162),1)] {" &amp; ROUND(SUM(F161:F162),1) &amp; "}.")," ") &amp; IFERROR(IF(G155=ROUND(SUM(G161:G162),1)," "," Стр. 112, Гр. 3 [G155]  д.б. = [Окр(Сум(G161:G162),1)] {" &amp; ROUND(SUM(G161:G162),1) &amp; "}.")," ") &amp; IFERROR(IF(H155=ROUND(SUM(H161:H162),1)," "," Стр. 112, Гр. 4 [H155]  д.б. = [Окр(Сум(H161:H162),1)] {" &amp; ROUND(SUM(H161:H162),1) &amp; "}.")," ") &amp; IFERROR(IF(I155=ROUND(G159/G6*100,1)," "," Стр. 112, Гр. 5 [I155]  д.б. = [Окр(G159/G6*100,1)] {" &amp; ROUND(G159/G6*100,1) &amp; "}.")," ") &amp; IFERROR(IF(J155=ROUND(H159/H6*100,1)," "," Стр. 112, Гр. 6 [J155]  д.б. = [Окр(H159/H6*100,1)] {" &amp; ROUND(H159/H6*100,1) &amp; "}.")," ") &amp; IFERROR(IF(K155=ROUND(G159/E159*1000,1)," "," Стр. 112, Гр. 7 [K155]  д.б. = [Окр(G159/E159*1000,1)] {" &amp; ROUND(G159/E159*1000,1) &amp; "}.")," ") &amp; IFERROR(IF(L155=ROUND(H159/F159*1000,1)," "," Стр. 112, Гр. 8 [L155]  д.б. = [Окр(H159/F159*1000,1)] {" &amp; ROUND(H159/F159*1000,1) &amp; "}.")," ") &amp; IFERROR(IF(M155=ROUND(K159/L159*100,1)," "," Стр. 112, Гр. 9 [M155]  д.б. = [Окр(K159/L159*100,1)] {" &amp; ROUND(K159/L159*100,1) &amp; "}.")," ") &amp; IFERROR(IF(N155=ROUND(E159/F159*100,1)," "," Стр. 112, Гр. 10 [N155]  д.б. = [Окр(E159/F159*100,1)] {" &amp; ROUND(E159/F159*100,1) &amp; "}.")," ") &amp; IFERROR(IF(O155=ROUND(G159/H159*100,1)," "," Стр. 112, Гр. 11 [O155]  д.б. = [Окр(G159/H159*100,1)] {" &amp; ROUND(G159/H159*100,1) &amp; "}.")," ") &amp; IFERROR(IF(P155=ROUND(SUM(P161:P162),1)," "," Стр. 112, Гр. 12 [P155]  д.б. = [Окр(Сум(P161:P162),1)] {" &amp; ROUND(SUM(P161:P162),1) &amp; "}.")," ") &amp; IFERROR(IF(Q155=ROUND(SUM(Q161:Q162),1)," "," Стр. 112, Гр. 13 [Q155]  д.б. = [Окр(Сум(Q161:Q162),1)] {" &amp; ROUND(SUM(Q161:Q162),1) &amp; "}.")," ")</f>
        <v xml:space="preserve">             </v>
      </c>
    </row>
    <row r="156" spans="1:20" ht="45" customHeight="1" x14ac:dyDescent="0.25">
      <c r="A156" s="3" t="s">
        <v>57</v>
      </c>
      <c r="B156" s="1"/>
      <c r="C156" s="1" t="s">
        <v>1</v>
      </c>
      <c r="D156" s="1" t="s">
        <v>1</v>
      </c>
      <c r="E156" s="63"/>
      <c r="F156" s="63"/>
      <c r="G156" s="63"/>
      <c r="H156" s="63"/>
      <c r="I156" s="63"/>
      <c r="J156" s="63"/>
      <c r="K156" s="63"/>
      <c r="L156" s="63"/>
      <c r="M156" s="63"/>
      <c r="N156" s="63"/>
      <c r="O156" s="63"/>
      <c r="P156" s="63"/>
      <c r="Q156" s="63"/>
      <c r="R156" s="63"/>
      <c r="S156" s="63"/>
    </row>
    <row r="157" spans="1:20" ht="45" customHeight="1" x14ac:dyDescent="0.25">
      <c r="A157" s="3" t="s">
        <v>58</v>
      </c>
      <c r="B157" s="1" t="s">
        <v>246</v>
      </c>
      <c r="C157" s="1" t="s">
        <v>1</v>
      </c>
      <c r="D157" s="1" t="s">
        <v>1</v>
      </c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5" t="str">
        <f>IFERROR(IF(I157=ROUND(G161/G8*100,1)," "," Стр. 113, Гр. 5 [I157]  д.б. = [Окр(G161/G8*100,1)] {" &amp; ROUND(G161/G8*100,1) &amp; "}.")," ") &amp; IFERROR(IF(J157=ROUND(H161/H8*100,1)," "," Стр. 113, Гр. 6 [J157]  д.б. = [Окр(H161/H8*100,1)] {" &amp; ROUND(H161/H8*100,1) &amp; "}.")," ") &amp; IFERROR(IF(K157=ROUND(G161/E161*1000,1)," "," Стр. 113, Гр. 7 [K157]  д.б. = [Окр(G161/E161*1000,1)] {" &amp; ROUND(G161/E161*1000,1) &amp; "}.")," ") &amp; IFERROR(IF(L157=ROUND(H161/F161*1000,1)," "," Стр. 113, Гр. 8 [L157]  д.б. = [Окр(H161/F161*1000,1)] {" &amp; ROUND(H161/F161*1000,1) &amp; "}.")," ") &amp; IFERROR(IF(M157=ROUND(K161/L161*100,1)," "," Стр. 113, Гр. 9 [M157]  д.б. = [Окр(K161/L161*100,1)] {" &amp; ROUND(K161/L161*100,1) &amp; "}.")," ") &amp; IFERROR(IF(N157=ROUND(E161/F161*100,1)," "," Стр. 113, Гр. 10 [N157]  д.б. = [Окр(E161/F161*100,1)] {" &amp; ROUND(E161/F161*100,1) &amp; "}.")," ") &amp; IFERROR(IF(O157=ROUND(G161/H161*100,1)," "," Стр. 113, Гр. 11 [O157]  д.б. = [Окр(G161/H161*100,1)] {" &amp; ROUND(G161/H161*100,1) &amp; "}.")," ") &amp; IFERROR(IF(P157=ROUND(E161/E159*100,1)," "," Стр. 113, Гр. 12 [P157]  д.б. = [Окр(E161/E159*100,1)] {" &amp; ROUND(E161/E159*100,1) &amp; "}.")," ") &amp; IFERROR(IF(Q157=ROUND(F161/F159*100,1)," "," Стр. 113, Гр. 13 [Q157]  д.б. = [Окр(F161/F159*100,1)] {" &amp; ROUND(F161/F159*100,1) &amp; "}.")," ") &amp; IFERROR(IF(R157=ROUND(K161/K162*100,1)," "," Стр. 113, Гр. 14 [R157]  д.б. = [Окр(K161/K162*100,1)] {" &amp; ROUND(K161/K162*100,1) &amp; "}.")," ") &amp; IFERROR(IF(S157=ROUND(L161/L162*100,1)," "," Стр. 113, Гр. 15 [S157]  д.б. = [Окр(L161/L162*100,1)] {" &amp; ROUND(L161/L162*100,1) &amp; "}.")," ")</f>
        <v xml:space="preserve">           </v>
      </c>
    </row>
    <row r="158" spans="1:20" ht="45" customHeight="1" x14ac:dyDescent="0.25">
      <c r="A158" s="3" t="s">
        <v>60</v>
      </c>
      <c r="B158" s="1" t="s">
        <v>247</v>
      </c>
      <c r="C158" s="1" t="s">
        <v>1</v>
      </c>
      <c r="D158" s="1" t="s">
        <v>1</v>
      </c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5" t="str">
        <f>IFERROR(IF(I158=ROUND(G162/G9*100,1)," "," Стр. 114, Гр. 5 [I158]  д.б. = [Окр(G162/G9*100,1)] {" &amp; ROUND(G162/G9*100,1) &amp; "}.")," ") &amp; IFERROR(IF(J158=ROUND(H162/H9*100,1)," "," Стр. 114, Гр. 6 [J158]  д.б. = [Окр(H162/H9*100,1)] {" &amp; ROUND(H162/H9*100,1) &amp; "}.")," ") &amp; IFERROR(IF(K158=ROUND(G162/E162*1000,1)," "," Стр. 114, Гр. 7 [K158]  д.б. = [Окр(G162/E162*1000,1)] {" &amp; ROUND(G162/E162*1000,1) &amp; "}.")," ") &amp; IFERROR(IF(L158=ROUND(H162/F162*1000,1)," "," Стр. 114, Гр. 8 [L158]  д.б. = [Окр(H162/F162*1000,1)] {" &amp; ROUND(H162/F162*1000,1) &amp; "}.")," ") &amp; IFERROR(IF(M158=ROUND(K162/L162*100,1)," "," Стр. 114, Гр. 9 [M158]  д.б. = [Окр(K162/L162*100,1)] {" &amp; ROUND(K162/L162*100,1) &amp; "}.")," ") &amp; IFERROR(IF(N158=ROUND(E162/F162*100,1)," "," Стр. 114, Гр. 10 [N158]  д.б. = [Окр(E162/F162*100,1)] {" &amp; ROUND(E162/F162*100,1) &amp; "}.")," ") &amp; IFERROR(IF(O158=ROUND(G162/H162*100,1)," "," Стр. 114, Гр. 11 [O158]  д.б. = [Окр(G162/H162*100,1)] {" &amp; ROUND(G162/H162*100,1) &amp; "}.")," ") &amp; IFERROR(IF(P158=ROUND(E162/E159*100,1)," "," Стр. 114, Гр. 12 [P158]  д.б. = [Окр(E162/E159*100,1)] {" &amp; ROUND(E162/E159*100,1) &amp; "}.")," ") &amp; IFERROR(IF(Q158=ROUND(F162/F159*100,1)," "," Стр. 114, Гр. 13 [Q158]  д.б. = [Окр(F162/F159*100,1)] {" &amp; ROUND(F162/F159*100,1) &amp; "}.")," ") &amp; IFERROR(IF(R158=ROUND(K162/K161*100,1)," "," Стр. 114, Гр. 14 [R158]  д.б. = [Окр(K162/K161*100,1)] {" &amp; ROUND(K162/K161*100,1) &amp; "}.")," ") &amp; IFERROR(IF(S158=ROUND(L162/L161*100,1)," "," Стр. 114, Гр. 15 [S158]  д.б. = [Окр(L162/L161*100,1)] {" &amp; ROUND(L162/L161*100,1) &amp; "}.")," ")</f>
        <v xml:space="preserve">           </v>
      </c>
    </row>
    <row r="159" spans="1:20" ht="45" customHeight="1" x14ac:dyDescent="0.25">
      <c r="A159" s="3" t="s">
        <v>248</v>
      </c>
      <c r="B159" s="1" t="s">
        <v>249</v>
      </c>
      <c r="C159" s="1" t="s">
        <v>250</v>
      </c>
      <c r="D159" s="1" t="s">
        <v>56</v>
      </c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5" t="str">
        <f>IFERROR(IF(E159=ROUND(SUM(E169:E170),1)," "," Стр. 115, Гр. 1 [E159]  д.б. = [Окр(Сум(E169:E170),1)] {" &amp; ROUND(SUM(E169:E170),1) &amp; "}.")," ") &amp; IFERROR(IF(F159=ROUND(SUM(F169:F170),1)," "," Стр. 115, Гр. 2 [F159]  д.б. = [Окр(Сум(F169:F170),1)] {" &amp; ROUND(SUM(F169:F170),1) &amp; "}.")," ") &amp; IFERROR(IF(G159=ROUND(SUM(G169:G170),1)," "," Стр. 115, Гр. 3 [G159]  д.б. = [Окр(Сум(G169:G170),1)] {" &amp; ROUND(SUM(G169:G170),1) &amp; "}.")," ") &amp; IFERROR(IF(H159=ROUND(SUM(H169:H170),1)," "," Стр. 115, Гр. 4 [H159]  д.б. = [Окр(Сум(H169:H170),1)] {" &amp; ROUND(SUM(H169:H170),1) &amp; "}.")," ") &amp; IFERROR(IF(I159=ROUND(G167/G6*100,1)," "," Стр. 115, Гр. 5 [I159]  д.б. = [Окр(G167/G6*100,1)] {" &amp; ROUND(G167/G6*100,1) &amp; "}.")," ") &amp; IFERROR(IF(J159=ROUND(H167/H6*100,1)," "," Стр. 115, Гр. 6 [J159]  д.б. = [Окр(H167/H6*100,1)] {" &amp; ROUND(H167/H6*100,1) &amp; "}.")," ") &amp; IFERROR(IF(K159=ROUND(G167/E167*1000,1)," "," Стр. 115, Гр. 7 [K159]  д.б. = [Окр(G167/E167*1000,1)] {" &amp; ROUND(G167/E167*1000,1) &amp; "}.")," ") &amp; IFERROR(IF(L159=ROUND(H167/F167*1000,1)," "," Стр. 115, Гр. 8 [L159]  д.б. = [Окр(H167/F167*1000,1)] {" &amp; ROUND(H167/F167*1000,1) &amp; "}.")," ") &amp; IFERROR(IF(M159=ROUND(K167/L167*100,1)," "," Стр. 115, Гр. 9 [M159]  д.б. = [Окр(K167/L167*100,1)] {" &amp; ROUND(K167/L167*100,1) &amp; "}.")," ") &amp; IFERROR(IF(N159=ROUND(E167/F167*100,1)," "," Стр. 115, Гр. 10 [N159]  д.б. = [Окр(E167/F167*100,1)] {" &amp; ROUND(E167/F167*100,1) &amp; "}.")," ") &amp; IFERROR(IF(O159=ROUND(G167/H167*100,1)," "," Стр. 115, Гр. 11 [O159]  д.б. = [Окр(G167/H167*100,1)] {" &amp; ROUND(G167/H167*100,1) &amp; "}.")," ") &amp; IFERROR(IF(P159=ROUND(SUM(P169:P170),1)," "," Стр. 115, Гр. 12 [P159]  д.б. = [Окр(Сум(P169:P170),1)] {" &amp; ROUND(SUM(P169:P170),1) &amp; "}.")," ") &amp; IFERROR(IF(Q159=ROUND(SUM(Q169:Q170),1)," "," Стр. 115, Гр. 13 [Q159]  д.б. = [Окр(Сум(Q169:Q170),1)] {" &amp; ROUND(SUM(Q169:Q170),1) &amp; "}.")," ")</f>
        <v xml:space="preserve">             </v>
      </c>
    </row>
    <row r="160" spans="1:20" ht="45" customHeight="1" x14ac:dyDescent="0.25">
      <c r="A160" s="3" t="s">
        <v>57</v>
      </c>
      <c r="B160" s="1"/>
      <c r="C160" s="1" t="s">
        <v>1</v>
      </c>
      <c r="D160" s="1" t="s">
        <v>1</v>
      </c>
      <c r="E160" s="63"/>
      <c r="F160" s="63"/>
      <c r="G160" s="63"/>
      <c r="H160" s="63"/>
      <c r="I160" s="63"/>
      <c r="J160" s="63"/>
      <c r="K160" s="63"/>
      <c r="L160" s="63"/>
      <c r="M160" s="63"/>
      <c r="N160" s="63"/>
      <c r="O160" s="63"/>
      <c r="P160" s="63"/>
      <c r="Q160" s="63"/>
      <c r="R160" s="63"/>
      <c r="S160" s="63"/>
    </row>
    <row r="161" spans="1:20" ht="45" customHeight="1" x14ac:dyDescent="0.25">
      <c r="A161" s="3" t="s">
        <v>58</v>
      </c>
      <c r="B161" s="1" t="s">
        <v>251</v>
      </c>
      <c r="C161" s="1" t="s">
        <v>1</v>
      </c>
      <c r="D161" s="1" t="s">
        <v>1</v>
      </c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5" t="str">
        <f>IFERROR(IF(I161=ROUND(G169/G8*100,1)," "," Стр. 116, Гр. 5 [I161]  д.б. = [Окр(G169/G8*100,1)] {" &amp; ROUND(G169/G8*100,1) &amp; "}.")," ") &amp; IFERROR(IF(J161=ROUND(H169/H8*100,1)," "," Стр. 116, Гр. 6 [J161]  д.б. = [Окр(H169/H8*100,1)] {" &amp; ROUND(H169/H8*100,1) &amp; "}.")," ") &amp; IFERROR(IF(K161=ROUND(G169/E169*1000,1)," "," Стр. 116, Гр. 7 [K161]  д.б. = [Окр(G169/E169*1000,1)] {" &amp; ROUND(G169/E169*1000,1) &amp; "}.")," ") &amp; IFERROR(IF(L161=ROUND(H169/F169*1000,1)," "," Стр. 116, Гр. 8 [L161]  д.б. = [Окр(H169/F169*1000,1)] {" &amp; ROUND(H169/F169*1000,1) &amp; "}.")," ") &amp; IFERROR(IF(M161=ROUND(K169/L169*100,1)," "," Стр. 116, Гр. 9 [M161]  д.б. = [Окр(K169/L169*100,1)] {" &amp; ROUND(K169/L169*100,1) &amp; "}.")," ") &amp; IFERROR(IF(N161=ROUND(E169/F169*100,1)," "," Стр. 116, Гр. 10 [N161]  д.б. = [Окр(E169/F169*100,1)] {" &amp; ROUND(E169/F169*100,1) &amp; "}.")," ") &amp; IFERROR(IF(O161=ROUND(G169/H169*100,1)," "," Стр. 116, Гр. 11 [O161]  д.б. = [Окр(G169/H169*100,1)] {" &amp; ROUND(G169/H169*100,1) &amp; "}.")," ") &amp; IFERROR(IF(P161=ROUND(E169/E162*100,1)," "," Стр. 116, Гр. 12 [P161]  д.б. = [Окр(E169/E162*100,1)] {" &amp; ROUND(E169/E162*100,1) &amp; "}.")," ") &amp; IFERROR(IF(Q161=ROUND(F169/F162*100,1)," "," Стр. 116, Гр. 13 [Q161]  д.б. = [Окр(F169/F162*100,1)] {" &amp; ROUND(F169/F162*100,1) &amp; "}.")," ") &amp; IFERROR(IF(R161=ROUND(K169/K170*100,1)," "," Стр. 116, Гр. 14 [R161]  д.б. = [Окр(K169/K170*100,1)] {" &amp; ROUND(K169/K170*100,1) &amp; "}.")," ") &amp; IFERROR(IF(S161=ROUND(L169/L170*100,1)," "," Стр. 116, Гр. 15 [S161]  д.б. = [Окр(L169/L170*100,1)] {" &amp; ROUND(L169/L170*100,1) &amp; "}.")," ")</f>
        <v xml:space="preserve">           </v>
      </c>
    </row>
    <row r="162" spans="1:20" ht="45" customHeight="1" x14ac:dyDescent="0.25">
      <c r="A162" s="3" t="s">
        <v>252</v>
      </c>
      <c r="B162" s="1" t="s">
        <v>253</v>
      </c>
      <c r="C162" s="1" t="s">
        <v>1</v>
      </c>
      <c r="D162" s="1" t="s">
        <v>1</v>
      </c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5" t="str">
        <f>IFERROR(IF(I162=ROUND(G170/G9*100,1)," "," Стр. 117, Гр. 5 [I162]  д.б. = [Окр(G170/G9*100,1)] {" &amp; ROUND(G170/G9*100,1) &amp; "}.")," ") &amp; IFERROR(IF(J162=ROUND(H170/H9*100,1)," "," Стр. 117, Гр. 6 [J162]  д.б. = [Окр(H170/H9*100,1)] {" &amp; ROUND(H170/H9*100,1) &amp; "}.")," ") &amp; IFERROR(IF(K162=ROUND(G170/E170*1000,1)," "," Стр. 117, Гр. 7 [K162]  д.б. = [Окр(G170/E170*1000,1)] {" &amp; ROUND(G170/E170*1000,1) &amp; "}.")," ") &amp; IFERROR(IF(L162=ROUND(H170/F170*1000,1)," "," Стр. 117, Гр. 8 [L162]  д.б. = [Окр(H170/F170*1000,1)] {" &amp; ROUND(H170/F170*1000,1) &amp; "}.")," ") &amp; IFERROR(IF(M162=ROUND(K170/L170*100,1)," "," Стр. 117, Гр. 9 [M162]  д.б. = [Окр(K170/L170*100,1)] {" &amp; ROUND(K170/L170*100,1) &amp; "}.")," ") &amp; IFERROR(IF(N162=ROUND(E170/F170*100,1)," "," Стр. 117, Гр. 10 [N162]  д.б. = [Окр(E170/F170*100,1)] {" &amp; ROUND(E170/F170*100,1) &amp; "}.")," ") &amp; IFERROR(IF(O162=ROUND(G170/H170*100,1)," "," Стр. 117, Гр. 11 [O162]  д.б. = [Окр(G170/H170*100,1)] {" &amp; ROUND(G170/H170*100,1) &amp; "}.")," ") &amp; IFERROR(IF(P162=ROUND(E170/E167*100,1)," "," Стр. 117, Гр. 12 [P162]  д.б. = [Окр(E170/E167*100,1)] {" &amp; ROUND(E170/E167*100,1) &amp; "}.")," ") &amp; IFERROR(IF(Q162=ROUND(F170/F167*100,1)," "," Стр. 117, Гр. 13 [Q162]  д.б. = [Окр(F170/F167*100,1)] {" &amp; ROUND(F170/F167*100,1) &amp; "}.")," ") &amp; IFERROR(IF(R162=ROUND(K170/K169*100,1)," "," Стр. 117, Гр. 14 [R162]  д.б. = [Окр(K170/K169*100,1)] {" &amp; ROUND(K170/K169*100,1) &amp; "}.")," ") &amp; IFERROR(IF(S162=ROUND(L170/L169*100,1)," "," Стр. 117, Гр. 15 [S162]  д.б. = [Окр(L170/L169*100,1)] {" &amp; ROUND(L170/L169*100,1) &amp; "}.")," ")</f>
        <v xml:space="preserve">           </v>
      </c>
    </row>
    <row r="163" spans="1:20" ht="45" customHeight="1" x14ac:dyDescent="0.25">
      <c r="A163" s="3" t="s">
        <v>254</v>
      </c>
      <c r="B163" s="1" t="s">
        <v>255</v>
      </c>
      <c r="C163" s="1" t="s">
        <v>256</v>
      </c>
      <c r="D163" s="1" t="s">
        <v>1</v>
      </c>
      <c r="E163" s="54"/>
      <c r="F163" s="55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5" t="str">
        <f>IFERROR(IF(G163=ROUND(SUM(G177:G178),1)," "," Стр. 118, Гр. 3 [G163]  д.б. = [Окр(Сум(G177:G178),1)] {" &amp; ROUND(SUM(G177:G178),1) &amp; "}.")," ") &amp; IFERROR(IF(H163=ROUND(SUM(H177:H178),1)," "," Стр. 118, Гр. 4 [H163]  д.б. = [Окр(Сум(H177:H178),1)] {" &amp; ROUND(SUM(H177:H178),1) &amp; "}.")," ") &amp; IFERROR(IF(I163=ROUND(G175/G6*100,1)," "," Стр. 118, Гр. 5 [I163]  д.б. = [Окр(G175/G6*100,1)] {" &amp; ROUND(G175/G6*100,1) &amp; "}.")," ") &amp; IFERROR(IF(J163=ROUND(H175/H6*100,1)," "," Стр. 118, Гр. 6 [J163]  д.б. = [Окр(H175/H6*100,1)] {" &amp; ROUND(H175/H6*100,1) &amp; "}.")," ") &amp; IFERROR(IF(O163=ROUND(G175/H175*100,1)," "," Стр. 118, Гр. 11 [O163]  д.б. = [Окр(G175/H175*100,1)] {" &amp; ROUND(G175/H175*100,1) &amp; "}.")," ") &amp; IFERROR(IF(P163=ROUND(SUM(P177:P178),1)," "," Стр. 118, Гр. 12 [P163]  д.б. = [Окр(Сум(P177:P178),1)] {" &amp; ROUND(SUM(P177:P178),1) &amp; "}.")," ") &amp; IFERROR(IF(Q163=ROUND(SUM(Q177:Q178),1)," "," Стр. 118, Гр. 13 [Q163]  д.б. = [Окр(Сум(Q177:Q178),1)] {" &amp; ROUND(SUM(Q177:Q178),1) &amp; "}.")," ")</f>
        <v xml:space="preserve">       </v>
      </c>
    </row>
    <row r="164" spans="1:20" ht="45" customHeight="1" x14ac:dyDescent="0.25">
      <c r="A164" s="3" t="s">
        <v>57</v>
      </c>
      <c r="B164" s="1"/>
      <c r="C164" s="1" t="s">
        <v>1</v>
      </c>
      <c r="D164" s="1" t="s">
        <v>1</v>
      </c>
      <c r="E164" s="63"/>
      <c r="F164" s="63"/>
      <c r="G164" s="63"/>
      <c r="H164" s="63"/>
      <c r="I164" s="63"/>
      <c r="J164" s="63"/>
      <c r="K164" s="63"/>
      <c r="L164" s="63"/>
      <c r="M164" s="63"/>
      <c r="N164" s="63"/>
      <c r="O164" s="63"/>
      <c r="P164" s="63"/>
      <c r="Q164" s="63"/>
      <c r="R164" s="63"/>
      <c r="S164" s="63"/>
    </row>
    <row r="165" spans="1:20" ht="45" customHeight="1" x14ac:dyDescent="0.25">
      <c r="A165" s="3" t="s">
        <v>58</v>
      </c>
      <c r="B165" s="1" t="s">
        <v>257</v>
      </c>
      <c r="C165" s="1" t="s">
        <v>1</v>
      </c>
      <c r="D165" s="1" t="s">
        <v>1</v>
      </c>
      <c r="E165" s="56"/>
      <c r="F165" s="57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5" t="str">
        <f>IFERROR(IF(I165=ROUND(G177/G8*100,1)," "," Стр. 119, Гр. 5 [I165]  д.б. = [Окр(G177/G8*100,1)] {" &amp; ROUND(G177/G8*100,1) &amp; "}.")," ") &amp; IFERROR(IF(J165=ROUND(H177/H8*100,1)," "," Стр. 119, Гр. 6 [J165]  д.б. = [Окр(H177/H8*100,1)] {" &amp; ROUND(H177/H8*100,1) &amp; "}.")," ") &amp; IFERROR(IF(O165=ROUND(G177/H177*100,1)," "," Стр. 119, Гр. 11 [O165]  д.б. = [Окр(G177/H177*100,1)] {" &amp; ROUND(G177/H177*100,1) &amp; "}.")," ") &amp; IFERROR(IF(P165=ROUND(G177/G175*100,1)," "," Стр. 119, Гр. 12 [P165]  д.б. = [Окр(G177/G175*100,1)] {" &amp; ROUND(G177/G175*100,1) &amp; "}.")," ") &amp; IFERROR(IF(Q165=ROUND(H177/H175*100,1)," "," Стр. 119, Гр. 13 [Q165]  д.б. = [Окр(H177/H175*100,1)] {" &amp; ROUND(H177/H175*100,1) &amp; "}.")," ")</f>
        <v xml:space="preserve">     </v>
      </c>
    </row>
    <row r="166" spans="1:20" ht="45" customHeight="1" x14ac:dyDescent="0.25">
      <c r="A166" s="3" t="s">
        <v>60</v>
      </c>
      <c r="B166" s="1" t="s">
        <v>258</v>
      </c>
      <c r="C166" s="1" t="s">
        <v>1</v>
      </c>
      <c r="D166" s="1" t="s">
        <v>1</v>
      </c>
      <c r="E166" s="58"/>
      <c r="F166" s="59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5" t="str">
        <f>IFERROR(IF(I166=ROUND(G178/G9*100,1)," "," Стр. 120, Гр. 5 [I166]  д.б. = [Окр(G178/G9*100,1)] {" &amp; ROUND(G178/G9*100,1) &amp; "}.")," ") &amp; IFERROR(IF(J166=ROUND(H178/H9*100,1)," "," Стр. 120, Гр. 6 [J166]  д.б. = [Окр(H178/H9*100,1)] {" &amp; ROUND(H178/H9*100,1) &amp; "}.")," ") &amp; IFERROR(IF(O166=ROUND(G178/H178*100,1)," "," Стр. 120, Гр. 11 [O166]  д.б. = [Окр(G178/H178*100,1)] {" &amp; ROUND(G178/H178*100,1) &amp; "}.")," ") &amp; IFERROR(IF(P166=ROUND(G178/G175*100,1)," "," Стр. 120, Гр. 12 [P166]  д.б. = [Окр(G178/G175*100,1)] {" &amp; ROUND(G178/G175*100,1) &amp; "}.")," ") &amp; IFERROR(IF(Q166=ROUND(H178/H175*100,1)," "," Стр. 120, Гр. 13 [Q166]  д.б. = [Окр(H178/H175*100,1)] {" &amp; ROUND(H178/H175*100,1) &amp; "}.")," ")</f>
        <v xml:space="preserve">     </v>
      </c>
    </row>
    <row r="167" spans="1:20" ht="45" customHeight="1" x14ac:dyDescent="0.25">
      <c r="A167" s="3" t="s">
        <v>259</v>
      </c>
      <c r="B167" s="1" t="s">
        <v>260</v>
      </c>
      <c r="C167" s="1" t="s">
        <v>261</v>
      </c>
      <c r="D167" s="1" t="s">
        <v>262</v>
      </c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5" t="str">
        <f>IFERROR(IF(E167=ROUND(SUM(E181:E182),1)," "," Стр. 121, Гр. 1 [E167]  д.б. = [Окр(Сум(E181:E182),1)] {" &amp; ROUND(SUM(E181:E182),1) &amp; "}.")," ") &amp; IFERROR(IF(F167=ROUND(SUM(F181:F182),1)," "," Стр. 121, Гр. 2 [F167]  д.б. = [Окр(Сум(F181:F182),1)] {" &amp; ROUND(SUM(F181:F182),1) &amp; "}.")," ") &amp; IFERROR(IF(G167=ROUND(SUM(G181:G182),1)," "," Стр. 121, Гр. 3 [G167]  д.б. = [Окр(Сум(G181:G182),1)] {" &amp; ROUND(SUM(G181:G182),1) &amp; "}.")," ") &amp; IFERROR(IF(H167=ROUND(SUM(H189:H190),1)," "," Стр. 121, Гр. 4 [H167]  д.б. = [Окр(Сум(H189:H190),1)] {" &amp; ROUND(SUM(H189:H190),1) &amp; "}.")," ") &amp; IFERROR(IF(I167=ROUND(G179/G6*100,1)," "," Стр. 121, Гр. 5 [I167]  д.б. = [Окр(G179/G6*100,1)] {" &amp; ROUND(G179/G6*100,1) &amp; "}.")," ") &amp; IFERROR(IF(J167=ROUND(H179/H6*100,1)," "," Стр. 121, Гр. 6 [J167]  д.б. = [Окр(H179/H6*100,1)] {" &amp; ROUND(H179/H6*100,1) &amp; "}.")," ") &amp; IFERROR(IF(K167=ROUND(G179/E179*1000,1)," "," Стр. 121, Гр. 7 [K167]  д.б. = [Окр(G179/E179*1000,1)] {" &amp; ROUND(G179/E179*1000,1) &amp; "}.")," ") &amp; IFERROR(IF(L167=ROUND(H179/F179*1000,1)," "," Стр. 121, Гр. 8 [L167]  д.б. = [Окр(H179/F179*1000,1)] {" &amp; ROUND(H179/F179*1000,1) &amp; "}.")," ") &amp; IFERROR(IF(M167=ROUND(K179/L179*100,1)," "," Стр. 121, Гр. 9 [M167]  д.б. = [Окр(K179/L179*100,1)] {" &amp; ROUND(K179/L179*100,1) &amp; "}.")," ") &amp; IFERROR(IF(N167=ROUND(E179/F179*100,1)," "," Стр. 121, Гр. 10 [N167]  д.б. = [Окр(E179/F179*100,1)] {" &amp; ROUND(E179/F179*100,1) &amp; "}.")," ") &amp; IFERROR(IF(O167=ROUND(G179/H179*100,1)," "," Стр. 121, Гр. 11 [O167]  д.б. = [Окр(G179/H179*100,1)] {" &amp; ROUND(G179/H179*100,1) &amp; "}.")," ") &amp; IFERROR(IF(P167=ROUND(SUM(P181:P182),1)," "," Стр. 121, Гр. 12 [P167]  д.б. = [Окр(Сум(P181:P182),1)] {" &amp; ROUND(SUM(P181:P182),1) &amp; "}.")," ") &amp; IFERROR(IF(Q167=ROUND(SUM(Q181:Q182),1)," "," Стр. 121, Гр. 13 [Q167]  д.б. = [Окр(Сум(Q181:Q182),1)] {" &amp; ROUND(SUM(Q181:Q182),1) &amp; "}.")," ")</f>
        <v xml:space="preserve">             </v>
      </c>
    </row>
    <row r="168" spans="1:20" ht="45" customHeight="1" x14ac:dyDescent="0.25">
      <c r="A168" s="3" t="s">
        <v>57</v>
      </c>
      <c r="B168" s="1"/>
      <c r="C168" s="1" t="s">
        <v>1</v>
      </c>
      <c r="D168" s="1" t="s">
        <v>1</v>
      </c>
      <c r="E168" s="63"/>
      <c r="F168" s="63"/>
      <c r="G168" s="63"/>
      <c r="H168" s="63"/>
      <c r="I168" s="63"/>
      <c r="J168" s="63"/>
      <c r="K168" s="63"/>
      <c r="L168" s="63"/>
      <c r="M168" s="63"/>
      <c r="N168" s="63"/>
      <c r="O168" s="63"/>
      <c r="P168" s="63"/>
      <c r="Q168" s="63"/>
      <c r="R168" s="63"/>
      <c r="S168" s="63"/>
    </row>
    <row r="169" spans="1:20" ht="45" customHeight="1" x14ac:dyDescent="0.25">
      <c r="A169" s="3" t="s">
        <v>58</v>
      </c>
      <c r="B169" s="1" t="s">
        <v>263</v>
      </c>
      <c r="C169" s="1" t="s">
        <v>1</v>
      </c>
      <c r="D169" s="1" t="s">
        <v>1</v>
      </c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5" t="str">
        <f>IFERROR(IF(I169=ROUND(G181/G8*100,1)," "," Стр. 122, Гр. 5 [I169]  д.б. = [Окр(G181/G8*100,1)] {" &amp; ROUND(G181/G8*100,1) &amp; "}.")," ") &amp; IFERROR(IF(J169=ROUND(H181/H8*100,1)," "," Стр. 122, Гр. 6 [J169]  д.б. = [Окр(H181/H8*100,1)] {" &amp; ROUND(H181/H8*100,1) &amp; "}.")," ") &amp; IFERROR(IF(K169=ROUND(G181/E181*1000,1)," "," Стр. 122, Гр. 7 [K169]  д.б. = [Окр(G181/E181*1000,1)] {" &amp; ROUND(G181/E181*1000,1) &amp; "}.")," ") &amp; IFERROR(IF(L169=ROUND(H181/F181*1000,1)," "," Стр. 122, Гр. 8 [L169]  д.б. = [Окр(H181/F181*1000,1)] {" &amp; ROUND(H181/F181*1000,1) &amp; "}.")," ") &amp; IFERROR(IF(M169=ROUND(K181/L181*100,1)," "," Стр. 122, Гр. 9 [M169]  д.б. = [Окр(K181/L181*100,1)] {" &amp; ROUND(K181/L181*100,1) &amp; "}.")," ") &amp; IFERROR(IF(N169=ROUND(E181/F181*100,1)," "," Стр. 122, Гр. 10 [N169]  д.б. = [Окр(E181/F181*100,1)] {" &amp; ROUND(E181/F181*100,1) &amp; "}.")," ") &amp; IFERROR(IF(O169=ROUND(G181/H181*100,1)," "," Стр. 122, Гр. 11 [O169]  д.б. = [Окр(G181/H181*100,1)] {" &amp; ROUND(G181/H181*100,1) &amp; "}.")," ") &amp; IFERROR(IF(P169=ROUND(E181/E179*100,1)," "," Стр. 122, Гр. 12 [P169]  д.б. = [Окр(E181/E179*100,1)] {" &amp; ROUND(E181/E179*100,1) &amp; "}.")," ") &amp; IFERROR(IF(Q169=ROUND(F181/F179*100,1)," "," Стр. 122, Гр. 13 [Q169]  д.б. = [Окр(F181/F179*100,1)] {" &amp; ROUND(F181/F179*100,1) &amp; "}.")," ") &amp; IFERROR(IF(R169=ROUND(K181/K182*100,1)," "," Стр. 122, Гр. 14 [R169]  д.б. = [Окр(K181/K182*100,1)] {" &amp; ROUND(K181/K182*100,1) &amp; "}.")," ") &amp; IFERROR(IF(S169=ROUND(L181/L182*100,1)," "," Стр. 122, Гр. 15 [S169]  д.б. = [Окр(L181/L182*100,1)] {" &amp; ROUND(L181/L182*100,1) &amp; "}.")," ")</f>
        <v xml:space="preserve">           </v>
      </c>
    </row>
    <row r="170" spans="1:20" ht="45" customHeight="1" x14ac:dyDescent="0.25">
      <c r="A170" s="3" t="s">
        <v>60</v>
      </c>
      <c r="B170" s="1" t="s">
        <v>264</v>
      </c>
      <c r="C170" s="1" t="s">
        <v>1</v>
      </c>
      <c r="D170" s="1" t="s">
        <v>1</v>
      </c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5" t="str">
        <f>IFERROR(IF(I170=ROUND(G182/G9*100,1)," "," Стр. 123, Гр. 5 [I170]  д.б. = [Окр(G182/G9*100,1)] {" &amp; ROUND(G182/G9*100,1) &amp; "}.")," ") &amp; IFERROR(IF(J170=ROUND(H182/H9*100,1)," "," Стр. 123, Гр. 6 [J170]  д.б. = [Окр(H182/H9*100,1)] {" &amp; ROUND(H182/H9*100,1) &amp; "}.")," ") &amp; IFERROR(IF(K170=ROUND(G182/E182*1000,1)," "," Стр. 123, Гр. 7 [K170]  д.б. = [Окр(G182/E182*1000,1)] {" &amp; ROUND(G182/E182*1000,1) &amp; "}.")," ") &amp; IFERROR(IF(L170=ROUND(H182/F182*1000,1)," "," Стр. 123, Гр. 8 [L170]  д.б. = [Окр(H182/F182*1000,1)] {" &amp; ROUND(H182/F182*1000,1) &amp; "}.")," ") &amp; IFERROR(IF(M170=ROUND(K182/L182*100,1)," "," Стр. 123, Гр. 9 [M170]  д.б. = [Окр(K182/L182*100,1)] {" &amp; ROUND(K182/L182*100,1) &amp; "}.")," ") &amp; IFERROR(IF(N170=ROUND(E182/F182*100,1)," "," Стр. 123, Гр. 10 [N170]  д.б. = [Окр(E182/F182*100,1)] {" &amp; ROUND(E182/F182*100,1) &amp; "}.")," ") &amp; IFERROR(IF(O170=ROUND(G182/H182*100,1)," "," Стр. 123, Гр. 11 [O170]  д.б. = [Окр(G182/H182*100,1)] {" &amp; ROUND(G182/H182*100,1) &amp; "}.")," ") &amp; IFERROR(IF(P170=ROUND(E182/E179*100,1)," "," Стр. 123, Гр. 12 [P170]  д.б. = [Окр(E182/E179*100,1)] {" &amp; ROUND(E182/E179*100,1) &amp; "}.")," ") &amp; IFERROR(IF(Q170=ROUND(F182/F179*100,1)," "," Стр. 123, Гр. 13 [Q170]  д.б. = [Окр(F182/F179*100,1)] {" &amp; ROUND(F182/F179*100,1) &amp; "}.")," ") &amp; IFERROR(IF(R170=ROUND(K182/K183*100,1)," "," Стр. 123, Гр. 14 [R170]  д.б. = [Окр(K182/K183*100,1)] {" &amp; ROUND(K182/K183*100,1) &amp; "}.")," ") &amp; IFERROR(IF(S170=ROUND(L182/L183*100,1)," "," Стр. 123, Гр. 15 [S170]  д.б. = [Окр(L182/L183*100,1)] {" &amp; ROUND(L182/L183*100,1) &amp; "}.")," ")</f>
        <v xml:space="preserve">           </v>
      </c>
    </row>
    <row r="171" spans="1:20" ht="45" customHeight="1" x14ac:dyDescent="0.25">
      <c r="A171" s="3" t="s">
        <v>265</v>
      </c>
      <c r="B171" s="1" t="s">
        <v>266</v>
      </c>
      <c r="C171" s="1" t="s">
        <v>267</v>
      </c>
      <c r="D171" s="1" t="s">
        <v>262</v>
      </c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5" t="str">
        <f>IFERROR(IF(E171=ROUND(SUM(E185:E186),1)," "," Стр. 124, Гр. 1 [E171]  д.б. = [Окр(Сум(E185:E186),1)] {" &amp; ROUND(SUM(E185:E186),1) &amp; "}.")," ") &amp; IFERROR(IF(F171=ROUND(SUM(F185:F186),1)," "," Стр. 124, Гр. 2 [F171]  д.б. = [Окр(Сум(F185:F186),1)] {" &amp; ROUND(SUM(F185:F186),1) &amp; "}.")," ") &amp; IFERROR(IF(G171=ROUND(SUM(G185:G186),1)," "," Стр. 124, Гр. 3 [G171]  д.б. = [Окр(Сум(G185:G186),1)] {" &amp; ROUND(SUM(G185:G186),1) &amp; "}.")," ") &amp; IFERROR(IF(H171=ROUND(SUM(H185:H186),1)," "," Стр. 124, Гр. 4 [H171]  д.б. = [Окр(Сум(H185:H186),1)] {" &amp; ROUND(SUM(H185:H186),1) &amp; "}.")," ") &amp; IFERROR(IF(I171=ROUND(G183/G6*100,1)," "," Стр. 124, Гр. 5 [I171]  д.б. = [Окр(G183/G6*100,1)] {" &amp; ROUND(G183/G6*100,1) &amp; "}.")," ") &amp; IFERROR(IF(J171=ROUND(H183/H6*100,1)," "," Стр. 124, Гр. 6 [J171]  д.б. = [Окр(H183/H6*100,1)] {" &amp; ROUND(H183/H6*100,1) &amp; "}.")," ") &amp; IFERROR(IF(K171=ROUND(G183/E183*100,1)," "," Стр. 124, Гр. 7 [K171]  д.б. = [Окр(G183/E183*100,1)] {" &amp; ROUND(G183/E183*100,1) &amp; "}.")," ") &amp; IFERROR(IF(L171=ROUND(H183/F183*100,1)," "," Стр. 124, Гр. 8 [L171]  д.б. = [Окр(H183/F183*100,1)] {" &amp; ROUND(H183/F183*100,1) &amp; "}.")," ") &amp; IFERROR(IF(M171=ROUND(K183/L183*100,1)," "," Стр. 124, Гр. 9 [M171]  д.б. = [Окр(K183/L183*100,1)] {" &amp; ROUND(K183/L183*100,1) &amp; "}.")," ") &amp; IFERROR(IF(N171=ROUND(E183/F183*100,1)," "," Стр. 124, Гр. 10 [N171]  д.б. = [Окр(E183/F183*100,1)] {" &amp; ROUND(E183/F183*100,1) &amp; "}.")," ") &amp; IFERROR(IF(O171=ROUND(G183/H183*100,1)," "," Стр. 124, Гр. 11 [O171]  д.б. = [Окр(G183/H183*100,1)] {" &amp; ROUND(G183/H183*100,1) &amp; "}.")," ") &amp; IFERROR(IF(P171=ROUND(SUM(P185:P186),1)," "," Стр. 124, Гр. 12 [P171]  д.б. = [Окр(Сум(P185:P186),1)] {" &amp; ROUND(SUM(P185:P186),1) &amp; "}.")," ") &amp; IFERROR(IF(Q171=ROUND(SUM(Q185:Q186),1)," "," Стр. 124, Гр. 13 [Q171]  д.б. = [Окр(Сум(Q185:Q186),1)] {" &amp; ROUND(SUM(Q185:Q186),1) &amp; "}.")," ")</f>
        <v xml:space="preserve">             </v>
      </c>
    </row>
    <row r="172" spans="1:20" ht="45" customHeight="1" x14ac:dyDescent="0.25">
      <c r="A172" s="3" t="s">
        <v>48</v>
      </c>
      <c r="B172" s="1"/>
      <c r="C172" s="1" t="s">
        <v>1</v>
      </c>
      <c r="D172" s="1" t="s">
        <v>1</v>
      </c>
      <c r="E172" s="63"/>
      <c r="F172" s="63"/>
      <c r="G172" s="63"/>
      <c r="H172" s="63"/>
      <c r="I172" s="63"/>
      <c r="J172" s="63"/>
      <c r="K172" s="63"/>
      <c r="L172" s="63"/>
      <c r="M172" s="63"/>
      <c r="N172" s="63"/>
      <c r="O172" s="63"/>
      <c r="P172" s="63"/>
      <c r="Q172" s="63"/>
      <c r="R172" s="63"/>
      <c r="S172" s="63"/>
    </row>
    <row r="173" spans="1:20" ht="45" customHeight="1" x14ac:dyDescent="0.25">
      <c r="A173" s="3" t="s">
        <v>58</v>
      </c>
      <c r="B173" s="1" t="s">
        <v>268</v>
      </c>
      <c r="C173" s="1" t="s">
        <v>1</v>
      </c>
      <c r="D173" s="1" t="s">
        <v>1</v>
      </c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5" t="str">
        <f>IFERROR(IF(I173=ROUND(G185/G8*100,1)," "," Стр. 125, Гр. 5 [I173]  д.б. = [Окр(G185/G8*100,1)] {" &amp; ROUND(G185/G8*100,1) &amp; "}.")," ") &amp; IFERROR(IF(J173=ROUND(H185/H8*100,1)," "," Стр. 125, Гр. 6 [J173]  д.б. = [Окр(H185/H8*100,1)] {" &amp; ROUND(H185/H8*100,1) &amp; "}.")," ") &amp; IFERROR(IF(K173=ROUND(G185/E185*1000,1)," "," Стр. 125, Гр. 7 [K173]  д.б. = [Окр(G185/E185*1000,1)] {" &amp; ROUND(G185/E185*1000,1) &amp; "}.")," ") &amp; IFERROR(IF(L173=ROUND(H185/F185*1000,1)," "," Стр. 125, Гр. 8 [L173]  д.б. = [Окр(H185/F185*1000,1)] {" &amp; ROUND(H185/F185*1000,1) &amp; "}.")," ") &amp; IFERROR(IF(M173=ROUND(K185/L185*100,1)," "," Стр. 125, Гр. 9 [M173]  д.б. = [Окр(K185/L185*100,1)] {" &amp; ROUND(K185/L185*100,1) &amp; "}.")," ") &amp; IFERROR(IF(N173=ROUND(E185/F185*100,1)," "," Стр. 125, Гр. 10 [N173]  д.б. = [Окр(E185/F185*100,1)] {" &amp; ROUND(E185/F185*100,1) &amp; "}.")," ") &amp; IFERROR(IF(O173=ROUND(G185/H185*100,1)," "," Стр. 125, Гр. 11 [O173]  д.б. = [Окр(G185/H185*100,1)] {" &amp; ROUND(G185/H185*100,1) &amp; "}.")," ") &amp; IFERROR(IF(P173=ROUND(E185/E183*100,1)," "," Стр. 125, Гр. 12 [P173]  д.б. = [Окр(E185/E183*100,1)] {" &amp; ROUND(E185/E183*100,1) &amp; "}.")," ") &amp; IFERROR(IF(Q173=ROUND(F185/F183*100,1)," "," Стр. 125, Гр. 13 [Q173]  д.б. = [Окр(F185/F183*100,1)] {" &amp; ROUND(F185/F183*100,1) &amp; "}.")," ") &amp; IFERROR(IF(R173=ROUND(K185/K186*100,1)," "," Стр. 125, Гр. 14 [R173]  д.б. = [Окр(K185/K186*100,1)] {" &amp; ROUND(K185/K186*100,1) &amp; "}.")," ") &amp; IFERROR(IF(S173=ROUND(L185/L186*100,1)," "," Стр. 125, Гр. 15 [S173]  д.б. = [Окр(L185/L186*100,1)] {" &amp; ROUND(L185/L186*100,1) &amp; "}.")," ")</f>
        <v xml:space="preserve">           </v>
      </c>
    </row>
    <row r="174" spans="1:20" ht="45" customHeight="1" x14ac:dyDescent="0.25">
      <c r="A174" s="3" t="s">
        <v>60</v>
      </c>
      <c r="B174" s="1" t="s">
        <v>269</v>
      </c>
      <c r="C174" s="1" t="s">
        <v>1</v>
      </c>
      <c r="D174" s="1" t="s">
        <v>1</v>
      </c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5" t="str">
        <f>IFERROR(IF(I174=ROUND(G186/G9*100,1)," "," Стр. 126, Гр. 5 [I174]  д.б. = [Окр(G186/G9*100,1)] {" &amp; ROUND(G186/G9*100,1) &amp; "}.")," ") &amp; IFERROR(IF(J174=ROUND(H186/H9*100,1)," "," Стр. 126, Гр. 6 [J174]  д.б. = [Окр(H186/H9*100,1)] {" &amp; ROUND(H186/H9*100,1) &amp; "}.")," ") &amp; IFERROR(IF(K174=ROUND(G186/E186*1000,1)," "," Стр. 126, Гр. 7 [K174]  д.б. = [Окр(G186/E186*1000,1)] {" &amp; ROUND(G186/E186*1000,1) &amp; "}.")," ") &amp; IFERROR(IF(L174=ROUND(H186/F186*1000,1)," "," Стр. 126, Гр. 8 [L174]  д.б. = [Окр(H186/F186*1000,1)] {" &amp; ROUND(H186/F186*1000,1) &amp; "}.")," ") &amp; IFERROR(IF(M174=ROUND(K186/L186*100,1)," "," Стр. 126, Гр. 9 [M174]  д.б. = [Окр(K186/L186*100,1)] {" &amp; ROUND(K186/L186*100,1) &amp; "}.")," ") &amp; IFERROR(IF(N174=ROUND(E186/F186*100,1)," "," Стр. 126, Гр. 10 [N174]  д.б. = [Окр(E186/F186*100,1)] {" &amp; ROUND(E186/F186*100,1) &amp; "}.")," ") &amp; IFERROR(IF(O174=ROUND(G186/H186*100,1)," "," Стр. 126, Гр. 11 [O174]  д.б. = [Окр(G186/H186*100,1)] {" &amp; ROUND(G186/H186*100,1) &amp; "}.")," ") &amp; IFERROR(IF(P174=ROUND(E186/E183*100,1)," "," Стр. 126, Гр. 12 [P174]  д.б. = [Окр(E186/E183*100,1)] {" &amp; ROUND(E186/E183*100,1) &amp; "}.")," ") &amp; IFERROR(IF(Q174=ROUND(F186/F183*100,1)," "," Стр. 126, Гр. 13 [Q174]  д.б. = [Окр(F186/F183*100,1)] {" &amp; ROUND(F186/F183*100,1) &amp; "}.")," ") &amp; IFERROR(IF(R174=ROUND(K186/K185*100,1)," "," Стр. 126, Гр. 14 [R174]  д.б. = [Окр(K186/K185*100,1)] {" &amp; ROUND(K186/K185*100,1) &amp; "}.")," ") &amp; IFERROR(IF(S174=ROUND(L186/L185*100,1)," "," Стр. 126, Гр. 15 [S174]  д.б. = [Окр(L186/L185*100,1)] {" &amp; ROUND(L186/L185*100,1) &amp; "}.")," ")</f>
        <v xml:space="preserve">           </v>
      </c>
    </row>
    <row r="175" spans="1:20" ht="45" customHeight="1" x14ac:dyDescent="0.25">
      <c r="A175" s="3" t="s">
        <v>270</v>
      </c>
      <c r="B175" s="1" t="s">
        <v>271</v>
      </c>
      <c r="C175" s="1" t="s">
        <v>272</v>
      </c>
      <c r="D175" s="1" t="s">
        <v>262</v>
      </c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5" t="str">
        <f>IFERROR(IF(E175=ROUND(SUM(E189:E190),1)," "," Стр. 127, Гр. 1 [E175]  д.б. = [Окр(Сум(E189:E190),1)] {" &amp; ROUND(SUM(E189:E190),1) &amp; "}.")," ") &amp; IFERROR(IF(F175=ROUND(SUM(F189:F190),1)," "," Стр. 127, Гр. 2 [F175]  д.б. = [Окр(Сум(F189:F190),1)] {" &amp; ROUND(SUM(F189:F190),1) &amp; "}.")," ") &amp; IFERROR(IF(G175=ROUND(SUM(G189:G190),1)," "," Стр. 127, Гр. 3 [G175]  д.б. = [Окр(Сум(G189:G190),1)] {" &amp; ROUND(SUM(G189:G190),1) &amp; "}.")," ") &amp; IFERROR(IF(H175=ROUND(SUM(H197:H198),1)," "," Стр. 127, Гр. 4 [H175]  д.б. = [Окр(Сум(H197:H198),1)] {" &amp; ROUND(SUM(H197:H198),1) &amp; "}.")," ") &amp; IFERROR(IF(I175=ROUND(G187/G6*100,1)," "," Стр. 127, Гр. 5 [I175]  д.б. = [Окр(G187/G6*100,1)] {" &amp; ROUND(G187/G6*100,1) &amp; "}.")," ") &amp; IFERROR(IF(J175=ROUND(H187/H6*100,1)," "," Стр. 127, Гр. 6 [J175]  д.б. = [Окр(H187/H6*100,1)] {" &amp; ROUND(H187/H6*100,1) &amp; "}.")," ") &amp; IFERROR(IF(K175=ROUND(G187/E187*1000,1)," "," Стр. 127, Гр. 7 [K175]  д.б. = [Окр(G187/E187*1000,1)] {" &amp; ROUND(G187/E187*1000,1) &amp; "}.")," ") &amp; IFERROR(IF(L175=ROUND(H187/F187*1000,1)," "," Стр. 127, Гр. 8 [L175]  д.б. = [Окр(H187/F187*1000,1)] {" &amp; ROUND(H187/F187*1000,1) &amp; "}.")," ") &amp; IFERROR(IF(M175=ROUND(K187/L187*100,1)," "," Стр. 127, Гр. 9 [M175]  д.б. = [Окр(K187/L187*100,1)] {" &amp; ROUND(K187/L187*100,1) &amp; "}.")," ") &amp; IFERROR(IF(N175=ROUND(E187/F187*100,1)," "," Стр. 127, Гр. 10 [N175]  д.б. = [Окр(E187/F187*100,1)] {" &amp; ROUND(E187/F187*100,1) &amp; "}.")," ") &amp; IFERROR(IF(O175=ROUND(G187/H187*100,1)," "," Стр. 127, Гр. 11 [O175]  д.б. = [Окр(G187/H187*100,1)] {" &amp; ROUND(G187/H187*100,1) &amp; "}.")," ") &amp; IFERROR(IF(P175=ROUND(SUM(P189:P190),1)," "," Стр. 127, Гр. 12 [P175]  д.б. = [Окр(Сум(P189:P190),1)] {" &amp; ROUND(SUM(P189:P190),1) &amp; "}.")," ") &amp; IFERROR(IF(Q175=ROUND(SUM(Q189:Q190),1)," "," Стр. 127, Гр. 13 [Q175]  д.б. = [Окр(Сум(Q189:Q190),1)] {" &amp; ROUND(SUM(Q189:Q190),1) &amp; "}.")," ")</f>
        <v xml:space="preserve">             </v>
      </c>
    </row>
    <row r="176" spans="1:20" ht="45" customHeight="1" x14ac:dyDescent="0.25">
      <c r="A176" s="3" t="s">
        <v>57</v>
      </c>
      <c r="B176" s="1"/>
      <c r="C176" s="1" t="s">
        <v>1</v>
      </c>
      <c r="D176" s="1" t="s">
        <v>1</v>
      </c>
      <c r="E176" s="63"/>
      <c r="F176" s="63"/>
      <c r="G176" s="63"/>
      <c r="H176" s="63"/>
      <c r="I176" s="63"/>
      <c r="J176" s="63"/>
      <c r="K176" s="63"/>
      <c r="L176" s="63"/>
      <c r="M176" s="63"/>
      <c r="N176" s="63"/>
      <c r="O176" s="63"/>
      <c r="P176" s="63"/>
      <c r="Q176" s="63"/>
      <c r="R176" s="63"/>
      <c r="S176" s="63"/>
    </row>
    <row r="177" spans="1:20" ht="45" customHeight="1" x14ac:dyDescent="0.25">
      <c r="A177" s="3" t="s">
        <v>58</v>
      </c>
      <c r="B177" s="1" t="s">
        <v>273</v>
      </c>
      <c r="C177" s="1" t="s">
        <v>1</v>
      </c>
      <c r="D177" s="1" t="s">
        <v>1</v>
      </c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5" t="str">
        <f>IFERROR(IF(I177=ROUND(G189/G8*100,1)," "," Стр. 128, Гр. 5 [I177]  д.б. = [Окр(G189/G8*100,1)] {" &amp; ROUND(G189/G8*100,1) &amp; "}.")," ") &amp; IFERROR(IF(J177=ROUND(H189/H8*100,1)," "," Стр. 128, Гр. 6 [J177]  д.б. = [Окр(H189/H8*100,1)] {" &amp; ROUND(H189/H8*100,1) &amp; "}.")," ") &amp; IFERROR(IF(K177=ROUND(G189/E189*1000,1)," "," Стр. 128, Гр. 7 [K177]  д.б. = [Окр(G189/E189*1000,1)] {" &amp; ROUND(G189/E189*1000,1) &amp; "}.")," ") &amp; IFERROR(IF(L177=ROUND(H189/F189*1000,1)," "," Стр. 128, Гр. 8 [L177]  д.б. = [Окр(H189/F189*1000,1)] {" &amp; ROUND(H189/F189*1000,1) &amp; "}.")," ") &amp; IFERROR(IF(M177=ROUND(K189/L189*100,1)," "," Стр. 128, Гр. 9 [M177]  д.б. = [Окр(K189/L189*100,1)] {" &amp; ROUND(K189/L189*100,1) &amp; "}.")," ") &amp; IFERROR(IF(N177=ROUND(E189/F189*100,1)," "," Стр. 128, Гр. 10 [N177]  д.б. = [Окр(E189/F189*100,1)] {" &amp; ROUND(E189/F189*100,1) &amp; "}.")," ") &amp; IFERROR(IF(O177=ROUND(G189/H189*100,1)," "," Стр. 128, Гр. 11 [O177]  д.б. = [Окр(G189/H189*100,1)] {" &amp; ROUND(G189/H189*100,1) &amp; "}.")," ") &amp; IFERROR(IF(P177=ROUND(E189/E187*100,1)," "," Стр. 128, Гр. 12 [P177]  д.б. = [Окр(E189/E187*100,1)] {" &amp; ROUND(E189/E187*100,1) &amp; "}.")," ") &amp; IFERROR(IF(Q177=ROUND(F189/F187*100,1)," "," Стр. 128, Гр. 13 [Q177]  д.б. = [Окр(F189/F187*100,1)] {" &amp; ROUND(F189/F187*100,1) &amp; "}.")," ") &amp; IFERROR(IF(R177=ROUND(K189/K190*100,1)," "," Стр. 128, Гр. 14 [R177]  д.б. = [Окр(K189/K190*100,1)] {" &amp; ROUND(K189/K190*100,1) &amp; "}.")," ") &amp; IFERROR(IF(S177=ROUND(L189/L190*100,1)," "," Стр. 128, Гр. 15 [S177]  д.б. = [Окр(L189/L190*100,1)] {" &amp; ROUND(L189/L190*100,1) &amp; "}.")," ")</f>
        <v xml:space="preserve">           </v>
      </c>
    </row>
    <row r="178" spans="1:20" ht="45" customHeight="1" x14ac:dyDescent="0.25">
      <c r="A178" s="3" t="s">
        <v>60</v>
      </c>
      <c r="B178" s="1" t="s">
        <v>274</v>
      </c>
      <c r="C178" s="1" t="s">
        <v>1</v>
      </c>
      <c r="D178" s="1" t="s">
        <v>1</v>
      </c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5" t="str">
        <f>IFERROR(IF(I178=ROUND(G190/G9*100,1)," "," Стр. 129, Гр. 5 [I178]  д.б. = [Окр(G190/G9*100,1)] {" &amp; ROUND(G190/G9*100,1) &amp; "}.")," ") &amp; IFERROR(IF(J178=ROUND(H190/H9*100,1)," "," Стр. 129, Гр. 6 [J178]  д.б. = [Окр(H190/H9*100,1)] {" &amp; ROUND(H190/H9*100,1) &amp; "}.")," ") &amp; IFERROR(IF(K178=ROUND(G190/E190*1000,1)," "," Стр. 129, Гр. 7 [K178]  д.б. = [Окр(G190/E190*1000,1)] {" &amp; ROUND(G190/E190*1000,1) &amp; "}.")," ") &amp; IFERROR(IF(L178=ROUND(H190/F190*1000,1)," "," Стр. 129, Гр. 8 [L178]  д.б. = [Окр(H190/F190*1000,1)] {" &amp; ROUND(H190/F190*1000,1) &amp; "}.")," ") &amp; IFERROR(IF(M178=ROUND(K190/L190*100,1)," "," Стр. 129, Гр. 9 [M178]  д.б. = [Окр(K190/L190*100,1)] {" &amp; ROUND(K190/L190*100,1) &amp; "}.")," ") &amp; IFERROR(IF(N178=ROUND(E190/F190*100,1)," "," Стр. 129, Гр. 10 [N178]  д.б. = [Окр(E190/F190*100,1)] {" &amp; ROUND(E190/F190*100,1) &amp; "}.")," ") &amp; IFERROR(IF(O178=ROUND(G190/H190*100,1)," "," Стр. 129, Гр. 11 [O178]  д.б. = [Окр(G190/H190*100,1)] {" &amp; ROUND(G190/H190*100,1) &amp; "}.")," ") &amp; IFERROR(IF(P178=ROUND(E190/E187*100,1)," "," Стр. 129, Гр. 12 [P178]  д.б. = [Окр(E190/E187*100,1)] {" &amp; ROUND(E190/E187*100,1) &amp; "}.")," ") &amp; IFERROR(IF(Q178=ROUND(F190/F187*100,1)," "," Стр. 129, Гр. 13 [Q178]  д.б. = [Окр(F190/F187*100,1)] {" &amp; ROUND(F190/F187*100,1) &amp; "}.")," ") &amp; IFERROR(IF(R178=ROUND(K190/K189*100,1)," "," Стр. 129, Гр. 14 [R178]  д.б. = [Окр(K190/K189*100,1)] {" &amp; ROUND(K190/K189*100,1) &amp; "}.")," ") &amp; IFERROR(IF(S178=ROUND(L190/L189*100,1)," "," Стр. 129, Гр. 15 [S178]  д.б. = [Окр(L190/L189*100,1)] {" &amp; ROUND(L190/L189*100,1) &amp; "}.")," ")</f>
        <v xml:space="preserve">           </v>
      </c>
    </row>
    <row r="179" spans="1:20" ht="45" customHeight="1" x14ac:dyDescent="0.25">
      <c r="A179" s="3" t="s">
        <v>275</v>
      </c>
      <c r="B179" s="1" t="s">
        <v>276</v>
      </c>
      <c r="C179" s="1" t="s">
        <v>277</v>
      </c>
      <c r="D179" s="1" t="s">
        <v>262</v>
      </c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5" t="str">
        <f>IFERROR(IF(E179=ROUND(SUM(E193:E194),1)," "," Стр. 130, Гр. 1 [E179]  д.б. = [Окр(Сум(E193:E194),1)] {" &amp; ROUND(SUM(E193:E194),1) &amp; "}.")," ") &amp; IFERROR(IF(F179=ROUND(SUM(F193:F194),1)," "," Стр. 130, Гр. 2 [F179]  д.б. = [Окр(Сум(F193:F194),1)] {" &amp; ROUND(SUM(F193:F194),1) &amp; "}.")," ") &amp; IFERROR(IF(G179=ROUND(SUM(G193:G194),1)," "," Стр. 130, Гр. 3 [G179]  д.б. = [Окр(Сум(G193:G194),1)] {" &amp; ROUND(SUM(G193:G194),1) &amp; "}.")," ") &amp; IFERROR(IF(H179=ROUND(SUM(H193:H194),1)," "," Стр. 130, Гр. 4 [H179]  д.б. = [Окр(Сум(H193:H194),1)] {" &amp; ROUND(SUM(H193:H194),1) &amp; "}.")," ") &amp; IFERROR(IF(I179=ROUND(G191/G6*100,1)," "," Стр. 130, Гр. 5 [I179]  д.б. = [Окр(G191/G6*100,1)] {" &amp; ROUND(G191/G6*100,1) &amp; "}.")," ") &amp; IFERROR(IF(J179=ROUND(H191/H6*100,1)," "," Стр. 130, Гр. 6 [J179]  д.б. = [Окр(H191/H6*100,1)] {" &amp; ROUND(H191/H6*100,1) &amp; "}.")," ") &amp; IFERROR(IF(K179=ROUND(G191/E191*1000,1)," "," Стр. 130, Гр. 7 [K179]  д.б. = [Окр(G191/E191*1000,1)] {" &amp; ROUND(G191/E191*1000,1) &amp; "}.")," ") &amp; IFERROR(IF(L179=ROUND(H191/F191*1000,1)," "," Стр. 130, Гр. 8 [L179]  д.б. = [Окр(H191/F191*1000,1)] {" &amp; ROUND(H191/F191*1000,1) &amp; "}.")," ") &amp; IFERROR(IF(M179=ROUND(K191/L191*100,1)," "," Стр. 130, Гр. 9 [M179]  д.б. = [Окр(K191/L191*100,1)] {" &amp; ROUND(K191/L191*100,1) &amp; "}.")," ") &amp; IFERROR(IF(N179=ROUND(E191/F191*100,1)," "," Стр. 130, Гр. 10 [N179]  д.б. = [Окр(E191/F191*100,1)] {" &amp; ROUND(E191/F191*100,1) &amp; "}.")," ") &amp; IFERROR(IF(O179=ROUND(G191/H191*100,1)," "," Стр. 130, Гр. 11 [O179]  д.б. = [Окр(G191/H191*100,1)] {" &amp; ROUND(G191/H191*100,1) &amp; "}.")," ") &amp; IFERROR(IF(P179=ROUND(SUM(P193:P194),1)," "," Стр. 130, Гр. 12 [P179]  д.б. = [Окр(Сум(P193:P194),1)] {" &amp; ROUND(SUM(P193:P194),1) &amp; "}.")," ") &amp; IFERROR(IF(Q179=ROUND(SUM(Q193:Q194),1)," "," Стр. 130, Гр. 13 [Q179]  д.б. = [Окр(Сум(Q193:Q194),1)] {" &amp; ROUND(SUM(Q193:Q194),1) &amp; "}.")," ")</f>
        <v xml:space="preserve">             </v>
      </c>
    </row>
    <row r="180" spans="1:20" ht="45" customHeight="1" x14ac:dyDescent="0.25">
      <c r="A180" s="3" t="s">
        <v>278</v>
      </c>
      <c r="B180" s="1"/>
      <c r="C180" s="1" t="s">
        <v>1</v>
      </c>
      <c r="D180" s="1" t="s">
        <v>1</v>
      </c>
      <c r="E180" s="63"/>
      <c r="F180" s="63"/>
      <c r="G180" s="63"/>
      <c r="H180" s="63"/>
      <c r="I180" s="63"/>
      <c r="J180" s="63"/>
      <c r="K180" s="63"/>
      <c r="L180" s="63"/>
      <c r="M180" s="63"/>
      <c r="N180" s="63"/>
      <c r="O180" s="63"/>
      <c r="P180" s="63"/>
      <c r="Q180" s="63"/>
      <c r="R180" s="63"/>
      <c r="S180" s="63"/>
    </row>
    <row r="181" spans="1:20" ht="45" customHeight="1" x14ac:dyDescent="0.25">
      <c r="A181" s="3" t="s">
        <v>279</v>
      </c>
      <c r="B181" s="1" t="s">
        <v>280</v>
      </c>
      <c r="C181" s="1" t="s">
        <v>1</v>
      </c>
      <c r="D181" s="1" t="s">
        <v>1</v>
      </c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5" t="str">
        <f>IFERROR(IF(I181=ROUND(G193/G8*100,1)," "," Стр. 131, Гр. 5 [I181]  д.б. = [Окр(G193/G8*100,1)] {" &amp; ROUND(G193/G8*100,1) &amp; "}.")," ") &amp; IFERROR(IF(J181=ROUND(H193/H8*100,1)," "," Стр. 131, Гр. 6 [J181]  д.б. = [Окр(H193/H8*100,1)] {" &amp; ROUND(H193/H8*100,1) &amp; "}.")," ") &amp; IFERROR(IF(K181=ROUND(G193/E193*1000,1)," "," Стр. 131, Гр. 7 [K181]  д.б. = [Окр(G193/E193*1000,1)] {" &amp; ROUND(G193/E193*1000,1) &amp; "}.")," ") &amp; IFERROR(IF(L181=ROUND(H193/F193*1000,1)," "," Стр. 131, Гр. 8 [L181]  д.б. = [Окр(H193/F193*1000,1)] {" &amp; ROUND(H193/F193*1000,1) &amp; "}.")," ") &amp; IFERROR(IF(M181=ROUND(K193/L193*100,1)," "," Стр. 131, Гр. 9 [M181]  д.б. = [Окр(K193/L193*100,1)] {" &amp; ROUND(K193/L193*100,1) &amp; "}.")," ") &amp; IFERROR(IF(N181=ROUND(E193/F193*100,1)," "," Стр. 131, Гр. 10 [N181]  д.б. = [Окр(E193/F193*100,1)] {" &amp; ROUND(E193/F193*100,1) &amp; "}.")," ") &amp; IFERROR(IF(O181=ROUND(G193/H193*100,1)," "," Стр. 131, Гр. 11 [O181]  д.б. = [Окр(G193/H193*100,1)] {" &amp; ROUND(G193/H193*100,1) &amp; "}.")," ") &amp; IFERROR(IF(P181=ROUND(E193/E191*100,1)," "," Стр. 131, Гр. 12 [P181]  д.б. = [Окр(E193/E191*100,1)] {" &amp; ROUND(E193/E191*100,1) &amp; "}.")," ") &amp; IFERROR(IF(Q181=ROUND(F193/F191*100,1)," "," Стр. 131, Гр. 13 [Q181]  д.б. = [Окр(F193/F191*100,1)] {" &amp; ROUND(F193/F191*100,1) &amp; "}.")," ") &amp; IFERROR(IF(R181=ROUND(K193/K194*100,1)," "," Стр. 131, Гр. 14 [R181]  д.б. = [Окр(K193/K194*100,1)] {" &amp; ROUND(K193/K194*100,1) &amp; "}.")," ") &amp; IFERROR(IF(S181=ROUND(L193/L194*100,1)," "," Стр. 131, Гр. 15 [S181]  д.б. = [Окр(L193/L194*100,1)] {" &amp; ROUND(L193/L194*100,1) &amp; "}.")," ")</f>
        <v xml:space="preserve">           </v>
      </c>
    </row>
    <row r="182" spans="1:20" ht="45" customHeight="1" x14ac:dyDescent="0.25">
      <c r="A182" s="3" t="s">
        <v>281</v>
      </c>
      <c r="B182" s="1" t="s">
        <v>282</v>
      </c>
      <c r="C182" s="1" t="s">
        <v>1</v>
      </c>
      <c r="D182" s="1" t="s">
        <v>1</v>
      </c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5" t="str">
        <f>IFERROR(IF(I182=ROUND(G194/G9*100,1)," "," Стр. 132, Гр. 5 [I182]  д.б. = [Окр(G194/G9*100,1)] {" &amp; ROUND(G194/G9*100,1) &amp; "}.")," ") &amp; IFERROR(IF(J182=ROUND(H194/H9*100,1)," "," Стр. 132, Гр. 6 [J182]  д.б. = [Окр(H194/H9*100,1)] {" &amp; ROUND(H194/H9*100,1) &amp; "}.")," ") &amp; IFERROR(IF(K182=ROUND(G194/E194*1000,1)," "," Стр. 132, Гр. 7 [K182]  д.б. = [Окр(G194/E194*1000,1)] {" &amp; ROUND(G194/E194*1000,1) &amp; "}.")," ") &amp; IFERROR(IF(L182=ROUND(H194/F194*1000,1)," "," Стр. 132, Гр. 8 [L182]  д.б. = [Окр(H194/F194*1000,1)] {" &amp; ROUND(H194/F194*1000,1) &amp; "}.")," ") &amp; IFERROR(IF(M182=ROUND(K194/L194*100,1)," "," Стр. 132, Гр. 9 [M182]  д.б. = [Окр(K194/L194*100,1)] {" &amp; ROUND(K194/L194*100,1) &amp; "}.")," ") &amp; IFERROR(IF(N182=ROUND(E194/F194*100,1)," "," Стр. 132, Гр. 10 [N182]  д.б. = [Окр(E194/F194*100,1)] {" &amp; ROUND(E194/F194*100,1) &amp; "}.")," ") &amp; IFERROR(IF(O182=ROUND(G194/H194*100,1)," "," Стр. 132, Гр. 11 [O182]  д.б. = [Окр(G194/H194*100,1)] {" &amp; ROUND(G194/H194*100,1) &amp; "}.")," ") &amp; IFERROR(IF(P182=ROUND(E194/E191*100,1)," "," Стр. 132, Гр. 12 [P182]  д.б. = [Окр(E194/E191*100,1)] {" &amp; ROUND(E194/E191*100,1) &amp; "}.")," ") &amp; IFERROR(IF(Q182=ROUND(F194/F191*100,1)," "," Стр. 132, Гр. 13 [Q182]  д.б. = [Окр(F194/F191*100,1)] {" &amp; ROUND(F194/F191*100,1) &amp; "}.")," ") &amp; IFERROR(IF(R182=ROUND(K194/K193*100,1)," "," Стр. 132, Гр. 14 [R182]  д.б. = [Окр(K194/K193*100,1)] {" &amp; ROUND(K194/K193*100,1) &amp; "}.")," ") &amp; IFERROR(IF(S182=ROUND(L194/L193*100,1)," "," Стр. 132, Гр. 15 [S182]  д.б. = [Окр(L194/L193*100,1)] {" &amp; ROUND(L194/L193*100,1) &amp; "}.")," ")</f>
        <v xml:space="preserve">           </v>
      </c>
    </row>
    <row r="183" spans="1:20" ht="45" customHeight="1" x14ac:dyDescent="0.25">
      <c r="A183" s="3" t="s">
        <v>283</v>
      </c>
      <c r="B183" s="1" t="s">
        <v>284</v>
      </c>
      <c r="C183" s="1" t="s">
        <v>285</v>
      </c>
      <c r="D183" s="1" t="s">
        <v>262</v>
      </c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5" t="str">
        <f>IFERROR(IF(E183=ROUND(SUM(E197:E198),1)," "," Стр. 133, Гр. 1 [E183]  д.б. = [Окр(Сум(E197:E198),1)] {" &amp; ROUND(SUM(E197:E198),1) &amp; "}.")," ") &amp; IFERROR(IF(F183=ROUND(SUM(F197:F198),1)," "," Стр. 133, Гр. 2 [F183]  д.б. = [Окр(Сум(F197:F198),1)] {" &amp; ROUND(SUM(F197:F198),1) &amp; "}.")," ") &amp; IFERROR(IF(G183=ROUND(SUM(G197:G198),1)," "," Стр. 133, Гр. 3 [G183]  д.б. = [Окр(Сум(G197:G198),1)] {" &amp; ROUND(SUM(G197:G198),1) &amp; "}.")," ") &amp; IFERROR(IF(H183=ROUND(SUM(H197:H198),1)," "," Стр. 133, Гр. 4 [H183]  д.б. = [Окр(Сум(H197:H198),1)] {" &amp; ROUND(SUM(H197:H198),1) &amp; "}.")," ") &amp; IFERROR(IF(I183=ROUND(G195/G6*100,1)," "," Стр. 133, Гр. 5 [I183]  д.б. = [Окр(G195/G6*100,1)] {" &amp; ROUND(G195/G6*100,1) &amp; "}.")," ") &amp; IFERROR(IF(J183=ROUND(H195/H6*100,1)," "," Стр. 133, Гр. 6 [J183]  д.б. = [Окр(H195/H6*100,1)] {" &amp; ROUND(H195/H6*100,1) &amp; "}.")," ") &amp; IFERROR(IF(K183=ROUND(G195/E195*1000,1)," "," Стр. 133, Гр. 7 [K183]  д.б. = [Окр(G195/E195*1000,1)] {" &amp; ROUND(G195/E195*1000,1) &amp; "}.")," ") &amp; IFERROR(IF(L183=ROUND(H195/F195*1000,1)," "," Стр. 133, Гр. 8 [L183]  д.б. = [Окр(H195/F195*1000,1)] {" &amp; ROUND(H195/F195*1000,1) &amp; "}.")," ") &amp; IFERROR(IF(M183=ROUND(K195/L195*100,1)," "," Стр. 133, Гр. 9 [M183]  д.б. = [Окр(K195/L195*100,1)] {" &amp; ROUND(K195/L195*100,1) &amp; "}.")," ") &amp; IFERROR(IF(N183=ROUND(E195/F195*100,1)," "," Стр. 133, Гр. 10 [N183]  д.б. = [Окр(E195/F195*100,1)] {" &amp; ROUND(E195/F195*100,1) &amp; "}.")," ") &amp; IFERROR(IF(O183=ROUND(G195/H195*100,1)," "," Стр. 133, Гр. 11 [O183]  д.б. = [Окр(G195/H195*100,1)] {" &amp; ROUND(G195/H195*100,1) &amp; "}.")," ") &amp; IFERROR(IF(P183=ROUND(SUM(P197:P198),1)," "," Стр. 133, Гр. 12 [P183]  д.б. = [Окр(Сум(P197:P198),1)] {" &amp; ROUND(SUM(P197:P198),1) &amp; "}.")," ") &amp; IFERROR(IF(Q183=ROUND(SUM(Q197:Q198),1)," "," Стр. 133, Гр. 13 [Q183]  д.б. = [Окр(Сум(Q197:Q198),1)] {" &amp; ROUND(SUM(Q197:Q198),1) &amp; "}.")," ")</f>
        <v xml:space="preserve">             </v>
      </c>
    </row>
    <row r="184" spans="1:20" ht="45" customHeight="1" x14ac:dyDescent="0.25">
      <c r="A184" s="3" t="s">
        <v>57</v>
      </c>
      <c r="B184" s="1"/>
      <c r="C184" s="1" t="s">
        <v>1</v>
      </c>
      <c r="D184" s="1" t="s">
        <v>1</v>
      </c>
      <c r="E184" s="63"/>
      <c r="F184" s="63"/>
      <c r="G184" s="63"/>
      <c r="H184" s="63"/>
      <c r="I184" s="63"/>
      <c r="J184" s="63"/>
      <c r="K184" s="63"/>
      <c r="L184" s="63"/>
      <c r="M184" s="63"/>
      <c r="N184" s="63"/>
      <c r="O184" s="63"/>
      <c r="P184" s="63"/>
      <c r="Q184" s="63"/>
      <c r="R184" s="63"/>
      <c r="S184" s="63"/>
    </row>
    <row r="185" spans="1:20" ht="45" customHeight="1" x14ac:dyDescent="0.25">
      <c r="A185" s="3" t="s">
        <v>58</v>
      </c>
      <c r="B185" s="1" t="s">
        <v>286</v>
      </c>
      <c r="C185" s="1" t="s">
        <v>1</v>
      </c>
      <c r="D185" s="1" t="s">
        <v>1</v>
      </c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5" t="str">
        <f>IFERROR(IF(I185=ROUND(G197/G8*100,1)," "," Стр. 134, Гр. 5 [I185]  д.б. = [Окр(G197/G8*100,1)] {" &amp; ROUND(G197/G8*100,1) &amp; "}.")," ") &amp; IFERROR(IF(J185=ROUND(H197/H8*100,1)," "," Стр. 134, Гр. 6 [J185]  д.б. = [Окр(H197/H8*100,1)] {" &amp; ROUND(H197/H8*100,1) &amp; "}.")," ") &amp; IFERROR(IF(K185=ROUND(G197/E197*1000,1)," "," Стр. 134, Гр. 7 [K185]  д.б. = [Окр(G197/E197*1000,1)] {" &amp; ROUND(G197/E197*1000,1) &amp; "}.")," ") &amp; IFERROR(IF(L185=ROUND(H197/F197*1000,1)," "," Стр. 134, Гр. 8 [L185]  д.б. = [Окр(H197/F197*1000,1)] {" &amp; ROUND(H197/F197*1000,1) &amp; "}.")," ") &amp; IFERROR(IF(M185=ROUND(K197/L197*100,1)," "," Стр. 134, Гр. 9 [M185]  д.б. = [Окр(K197/L197*100,1)] {" &amp; ROUND(K197/L197*100,1) &amp; "}.")," ") &amp; IFERROR(IF(N185=ROUND(E197/F197*100,1)," "," Стр. 134, Гр. 10 [N185]  д.б. = [Окр(E197/F197*100,1)] {" &amp; ROUND(E197/F197*100,1) &amp; "}.")," ") &amp; IFERROR(IF(O185=ROUND(G197/H197*100,1)," "," Стр. 134, Гр. 11 [O185]  д.б. = [Окр(G197/H197*100,1)] {" &amp; ROUND(G197/H197*100,1) &amp; "}.")," ") &amp; IFERROR(IF(P185=ROUND(E197/E195*100,1)," "," Стр. 134, Гр. 12 [P185]  д.б. = [Окр(E197/E195*100,1)] {" &amp; ROUND(E197/E195*100,1) &amp; "}.")," ") &amp; IFERROR(IF(Q185=ROUND(F197/F195*100,1)," "," Стр. 134, Гр. 13 [Q185]  д.б. = [Окр(F197/F195*100,1)] {" &amp; ROUND(F197/F195*100,1) &amp; "}.")," ") &amp; IFERROR(IF(R185=ROUND(K197/K198*100,1)," "," Стр. 134, Гр. 14 [R185]  д.б. = [Окр(K197/K198*100,1)] {" &amp; ROUND(K197/K198*100,1) &amp; "}.")," ") &amp; IFERROR(IF(S185=ROUND(L197/L198*100,1)," "," Стр. 134, Гр. 15 [S185]  д.б. = [Окр(L197/L198*100,1)] {" &amp; ROUND(L197/L198*100,1) &amp; "}.")," ")</f>
        <v xml:space="preserve">           </v>
      </c>
    </row>
    <row r="186" spans="1:20" ht="45" customHeight="1" x14ac:dyDescent="0.25">
      <c r="A186" s="3" t="s">
        <v>60</v>
      </c>
      <c r="B186" s="1" t="s">
        <v>287</v>
      </c>
      <c r="C186" s="1" t="s">
        <v>1</v>
      </c>
      <c r="D186" s="1" t="s">
        <v>1</v>
      </c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5" t="str">
        <f>IFERROR(IF(I186=ROUND(G198/G9*100,1)," "," Стр. 135, Гр. 5 [I186]  д.б. = [Окр(G198/G9*100,1)] {" &amp; ROUND(G198/G9*100,1) &amp; "}.")," ") &amp; IFERROR(IF(J186=ROUND(H198/H9*100,1)," "," Стр. 135, Гр. 6 [J186]  д.б. = [Окр(H198/H9*100,1)] {" &amp; ROUND(H198/H9*100,1) &amp; "}.")," ") &amp; IFERROR(IF(K186=ROUND(G198/E198*1000,1)," "," Стр. 135, Гр. 7 [K186]  д.б. = [Окр(G198/E198*1000,1)] {" &amp; ROUND(G198/E198*1000,1) &amp; "}.")," ") &amp; IFERROR(IF(L186=ROUND(H198/F198*1000,1)," "," Стр. 135, Гр. 8 [L186]  д.б. = [Окр(H198/F198*1000,1)] {" &amp; ROUND(H198/F198*1000,1) &amp; "}.")," ") &amp; IFERROR(IF(M186=ROUND(K198/L198*100,1)," "," Стр. 135, Гр. 9 [M186]  д.б. = [Окр(K198/L198*100,1)] {" &amp; ROUND(K198/L198*100,1) &amp; "}.")," ") &amp; IFERROR(IF(N186=ROUND(E198/F198*100,1)," "," Стр. 135, Гр. 10 [N186]  д.б. = [Окр(E198/F198*100,1)] {" &amp; ROUND(E198/F198*100,1) &amp; "}.")," ") &amp; IFERROR(IF(O186=ROUND(G198/H198*100,1)," "," Стр. 135, Гр. 11 [O186]  д.б. = [Окр(G198/H198*100,1)] {" &amp; ROUND(G198/H198*100,1) &amp; "}.")," ") &amp; IFERROR(IF(P186=ROUND(E198/E195*100,1)," "," Стр. 135, Гр. 12 [P186]  д.б. = [Окр(E198/E195*100,1)] {" &amp; ROUND(E198/E195*100,1) &amp; "}.")," ") &amp; IFERROR(IF(Q186=ROUND(F198/F195*100,1)," "," Стр. 135, Гр. 13 [Q186]  д.б. = [Окр(F198/F195*100,1)] {" &amp; ROUND(F198/F195*100,1) &amp; "}.")," ") &amp; IFERROR(IF(R186=ROUND(K198/K197*100,1)," "," Стр. 135, Гр. 14 [R186]  д.б. = [Окр(K198/K197*100,1)] {" &amp; ROUND(K198/K197*100,1) &amp; "}.")," ") &amp; IFERROR(IF(S186=ROUND(L198/L197*100,1)," "," Стр. 135, Гр. 15 [S186]  д.б. = [Окр(L198/L197*100,1)] {" &amp; ROUND(L198/L197*100,1) &amp; "}.")," ")</f>
        <v xml:space="preserve">           </v>
      </c>
    </row>
    <row r="187" spans="1:20" ht="45" customHeight="1" x14ac:dyDescent="0.25">
      <c r="A187" s="3" t="s">
        <v>288</v>
      </c>
      <c r="B187" s="1" t="s">
        <v>289</v>
      </c>
      <c r="C187" s="1" t="s">
        <v>290</v>
      </c>
      <c r="D187" s="1" t="s">
        <v>262</v>
      </c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5" t="str">
        <f>IFERROR(IF(E187=ROUND(SUM(E201:E202),1)," "," Стр. 136, Гр. 1 [E187]  д.б. = [Окр(Сум(E201:E202),1)] {" &amp; ROUND(SUM(E201:E202),1) &amp; "}.")," ") &amp; IFERROR(IF(F187=ROUND(SUM(F201:F202),1)," "," Стр. 136, Гр. 2 [F187]  д.б. = [Окр(Сум(F201:F202),1)] {" &amp; ROUND(SUM(F201:F202),1) &amp; "}.")," ") &amp; IFERROR(IF(G187=ROUND(SUM(G201:G202),1)," "," Стр. 136, Гр. 3 [G187]  д.б. = [Окр(Сум(G201:G202),1)] {" &amp; ROUND(SUM(G201:G202),1) &amp; "}.")," ") &amp; IFERROR(IF(H187=ROUND(SUM(H201:H202),1)," "," Стр. 136, Гр. 4 [H187]  д.б. = [Окр(Сум(H201:H202),1)] {" &amp; ROUND(SUM(H201:H202),1) &amp; "}.")," ") &amp; IFERROR(IF(I187=ROUND(G199/G6*100,1)," "," Стр. 136, Гр. 5 [I187]  д.б. = [Окр(G199/G6*100,1)] {" &amp; ROUND(G199/G6*100,1) &amp; "}.")," ") &amp; IFERROR(IF(J187=ROUND(H199/H6*100,1)," "," Стр. 136, Гр. 6 [J187]  д.б. = [Окр(H199/H6*100,1)] {" &amp; ROUND(H199/H6*100,1) &amp; "}.")," ") &amp; IFERROR(IF(K187=ROUND(G199/E199*1000,1)," "," Стр. 136, Гр. 7 [K187]  д.б. = [Окр(G199/E199*1000,1)] {" &amp; ROUND(G199/E199*1000,1) &amp; "}.")," ") &amp; IFERROR(IF(L187=ROUND(H199/F199*1000,1)," "," Стр. 136, Гр. 8 [L187]  д.б. = [Окр(H199/F199*1000,1)] {" &amp; ROUND(H199/F199*1000,1) &amp; "}.")," ") &amp; IFERROR(IF(M187=ROUND(K199/L199*100,1)," "," Стр. 136, Гр. 9 [M187]  д.б. = [Окр(K199/L199*100,1)] {" &amp; ROUND(K199/L199*100,1) &amp; "}.")," ") &amp; IFERROR(IF(N187=ROUND(E199/F199*100,1)," "," Стр. 136, Гр. 10 [N187]  д.б. = [Окр(E199/F199*100,1)] {" &amp; ROUND(E199/F199*100,1) &amp; "}.")," ") &amp; IFERROR(IF(O187=ROUND(G199/H199*100,1)," "," Стр. 136, Гр. 11 [O187]  д.б. = [Окр(G199/H199*100,1)] {" &amp; ROUND(G199/H199*100,1) &amp; "}.")," ") &amp; IFERROR(IF(P187=ROUND(SUM(P201:P202),1)," "," Стр. 136, Гр. 12 [P187]  д.б. = [Окр(Сум(P201:P202),1)] {" &amp; ROUND(SUM(P201:P202),1) &amp; "}.")," ") &amp; IFERROR(IF(Q187=ROUND(SUM(Q201:Q202),1)," "," Стр. 136, Гр. 13 [Q187]  д.б. = [Окр(Сум(Q201:Q202),1)] {" &amp; ROUND(SUM(Q201:Q202),1) &amp; "}.")," ")</f>
        <v xml:space="preserve">             </v>
      </c>
    </row>
    <row r="188" spans="1:20" ht="45" customHeight="1" x14ac:dyDescent="0.25">
      <c r="A188" s="3" t="s">
        <v>57</v>
      </c>
      <c r="B188" s="1"/>
      <c r="C188" s="1" t="s">
        <v>1</v>
      </c>
      <c r="D188" s="1" t="s">
        <v>1</v>
      </c>
      <c r="E188" s="63"/>
      <c r="F188" s="63"/>
      <c r="G188" s="63"/>
      <c r="H188" s="63"/>
      <c r="I188" s="63"/>
      <c r="J188" s="63"/>
      <c r="K188" s="63"/>
      <c r="L188" s="63"/>
      <c r="M188" s="63"/>
      <c r="N188" s="63"/>
      <c r="O188" s="63"/>
      <c r="P188" s="63"/>
      <c r="Q188" s="63"/>
      <c r="R188" s="63"/>
      <c r="S188" s="63"/>
    </row>
    <row r="189" spans="1:20" ht="45" customHeight="1" x14ac:dyDescent="0.25">
      <c r="A189" s="3" t="s">
        <v>58</v>
      </c>
      <c r="B189" s="1" t="s">
        <v>291</v>
      </c>
      <c r="C189" s="1" t="s">
        <v>1</v>
      </c>
      <c r="D189" s="1" t="s">
        <v>1</v>
      </c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5" t="str">
        <f>IFERROR(IF(I189=ROUND(G201/G8*100,1)," "," Стр. 137, Гр. 5 [I189]  д.б. = [Окр(G201/G8*100,1)] {" &amp; ROUND(G201/G8*100,1) &amp; "}.")," ") &amp; IFERROR(IF(J189=ROUND(H201/H8*100,1)," "," Стр. 137, Гр. 6 [J189]  д.б. = [Окр(H201/H8*100,1)] {" &amp; ROUND(H201/H8*100,1) &amp; "}.")," ") &amp; IFERROR(IF(K189=ROUND(G201/E201*1000,1)," "," Стр. 137, Гр. 7 [K189]  д.б. = [Окр(G201/E201*1000,1)] {" &amp; ROUND(G201/E201*1000,1) &amp; "}.")," ") &amp; IFERROR(IF(L189=ROUND(H201/F201*1000,1)," "," Стр. 137, Гр. 8 [L189]  д.б. = [Окр(H201/F201*1000,1)] {" &amp; ROUND(H201/F201*1000,1) &amp; "}.")," ") &amp; IFERROR(IF(M189=ROUND(K201/L201*100,1)," "," Стр. 137, Гр. 9 [M189]  д.б. = [Окр(K201/L201*100,1)] {" &amp; ROUND(K201/L201*100,1) &amp; "}.")," ") &amp; IFERROR(IF(N189=ROUND(E201/F201*100,1)," "," Стр. 137, Гр. 10 [N189]  д.б. = [Окр(E201/F201*100,1)] {" &amp; ROUND(E201/F201*100,1) &amp; "}.")," ") &amp; IFERROR(IF(O189=ROUND(G201/H201*100,1)," "," Стр. 137, Гр. 11 [O189]  д.б. = [Окр(G201/H201*100,1)] {" &amp; ROUND(G201/H201*100,1) &amp; "}.")," ") &amp; IFERROR(IF(P189=ROUND(E201/E199*100,1)," "," Стр. 137, Гр. 12 [P189]  д.б. = [Окр(E201/E199*100,1)] {" &amp; ROUND(E201/E199*100,1) &amp; "}.")," ") &amp; IFERROR(IF(Q189=ROUND(F201/F199*100,1)," "," Стр. 137, Гр. 13 [Q189]  д.б. = [Окр(F201/F199*100,1)] {" &amp; ROUND(F201/F199*100,1) &amp; "}.")," ") &amp; IFERROR(IF(R189=ROUND(K201/K202*100,1)," "," Стр. 137, Гр. 14 [R189]  д.б. = [Окр(K201/K202*100,1)] {" &amp; ROUND(K201/K202*100,1) &amp; "}.")," ") &amp; IFERROR(IF(S189=ROUND(L201/L202*100,1)," "," Стр. 137, Гр. 15 [S189]  д.б. = [Окр(L201/L202*100,1)] {" &amp; ROUND(L201/L202*100,1) &amp; "}.")," ")</f>
        <v xml:space="preserve">           </v>
      </c>
    </row>
    <row r="190" spans="1:20" ht="45" customHeight="1" x14ac:dyDescent="0.25">
      <c r="A190" s="3" t="s">
        <v>60</v>
      </c>
      <c r="B190" s="1" t="s">
        <v>292</v>
      </c>
      <c r="C190" s="1" t="s">
        <v>1</v>
      </c>
      <c r="D190" s="1" t="s">
        <v>1</v>
      </c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5" t="str">
        <f>IFERROR(IF(I190=ROUND(G202/G9*100,1)," "," Стр. 138, Гр. 5 [I190]  д.б. = [Окр(G202/G9*100,1)] {" &amp; ROUND(G202/G9*100,1) &amp; "}.")," ") &amp; IFERROR(IF(J190=ROUND(H202/H9*100,1)," "," Стр. 138, Гр. 6 [J190]  д.б. = [Окр(H202/H9*100,1)] {" &amp; ROUND(H202/H9*100,1) &amp; "}.")," ") &amp; IFERROR(IF(K190=ROUND(G202/E202*1000,1)," "," Стр. 138, Гр. 7 [K190]  д.б. = [Окр(G202/E202*1000,1)] {" &amp; ROUND(G202/E202*1000,1) &amp; "}.")," ") &amp; IFERROR(IF(L190=ROUND(H202/F202*1000,1)," "," Стр. 138, Гр. 8 [L190]  д.б. = [Окр(H202/F202*1000,1)] {" &amp; ROUND(H202/F202*1000,1) &amp; "}.")," ") &amp; IFERROR(IF(M190=ROUND(K202/L202*100,1)," "," Стр. 138, Гр. 9 [M190]  д.б. = [Окр(K202/L202*100,1)] {" &amp; ROUND(K202/L202*100,1) &amp; "}.")," ") &amp; IFERROR(IF(N190=ROUND(E202/F202*100,1)," "," Стр. 138, Гр. 10 [N190]  д.б. = [Окр(E202/F202*100,1)] {" &amp; ROUND(E202/F202*100,1) &amp; "}.")," ") &amp; IFERROR(IF(O190=ROUND(G202/H202*100,1)," "," Стр. 138, Гр. 11 [O190]  д.б. = [Окр(G202/H202*100,1)] {" &amp; ROUND(G202/H202*100,1) &amp; "}.")," ") &amp; IFERROR(IF(P190=ROUND(F202/F199*100,1)," "," Стр. 138, Гр. 12 [P190]  д.б. = [Окр(F202/F199*100,1)] {" &amp; ROUND(F202/F199*100,1) &amp; "}.")," ") &amp; IFERROR(IF(Q190=ROUND(H202/H199*100,1)," "," Стр. 138, Гр. 13 [Q190]  д.б. = [Окр(H202/H199*100,1)] {" &amp; ROUND(H202/H199*100,1) &amp; "}.")," ") &amp; IFERROR(IF(R190=ROUND(K202/K201*100,1)," "," Стр. 138, Гр. 14 [R190]  д.б. = [Окр(K202/K201*100,1)] {" &amp; ROUND(K202/K201*100,1) &amp; "}.")," ") &amp; IFERROR(IF(S190=ROUND(L202/L201*100,1)," "," Стр. 138, Гр. 15 [S190]  д.б. = [Окр(L202/L201*100,1)] {" &amp; ROUND(L202/L201*100,1) &amp; "}.")," ")</f>
        <v xml:space="preserve">           </v>
      </c>
    </row>
    <row r="192" spans="1:20" x14ac:dyDescent="0.25">
      <c r="A192" s="8" t="s">
        <v>293</v>
      </c>
    </row>
    <row r="193" spans="1:17" ht="75" customHeight="1" x14ac:dyDescent="0.25">
      <c r="A193" s="64" t="s">
        <v>294</v>
      </c>
      <c r="B193" s="64"/>
      <c r="C193" s="64"/>
      <c r="D193" s="64"/>
      <c r="E193" s="64"/>
      <c r="F193" s="64"/>
      <c r="G193" s="64"/>
      <c r="H193" s="64"/>
      <c r="I193" s="64"/>
      <c r="J193" s="64"/>
      <c r="K193" s="64"/>
      <c r="L193" s="64"/>
      <c r="M193" s="64"/>
      <c r="N193" s="64"/>
      <c r="O193" s="64"/>
      <c r="P193" s="64"/>
      <c r="Q193" s="64"/>
    </row>
    <row r="194" spans="1:17" x14ac:dyDescent="0.25">
      <c r="A194" s="8" t="s">
        <v>295</v>
      </c>
    </row>
    <row r="195" spans="1:17" ht="75" customHeight="1" x14ac:dyDescent="0.25">
      <c r="A195" s="65" t="s">
        <v>1</v>
      </c>
      <c r="B195" s="65"/>
      <c r="C195" s="65"/>
      <c r="D195" s="65"/>
      <c r="E195" s="65"/>
      <c r="F195" s="65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</row>
    <row r="196" spans="1:17" x14ac:dyDescent="0.25">
      <c r="A196" s="8" t="s">
        <v>296</v>
      </c>
    </row>
    <row r="197" spans="1:17" x14ac:dyDescent="0.25">
      <c r="A197" t="s">
        <v>297</v>
      </c>
      <c r="B197" s="65" t="s">
        <v>1</v>
      </c>
      <c r="C197" s="65"/>
      <c r="D197" s="65"/>
      <c r="E197" s="65"/>
    </row>
    <row r="198" spans="1:17" x14ac:dyDescent="0.25">
      <c r="A198" t="s">
        <v>298</v>
      </c>
      <c r="B198" s="65" t="s">
        <v>1</v>
      </c>
      <c r="C198" s="65"/>
      <c r="D198" s="65"/>
      <c r="E198" s="65"/>
    </row>
    <row r="199" spans="1:17" x14ac:dyDescent="0.25">
      <c r="A199" t="s">
        <v>299</v>
      </c>
      <c r="B199" s="65" t="s">
        <v>1</v>
      </c>
      <c r="C199" s="65"/>
      <c r="D199" s="65"/>
      <c r="E199" s="65"/>
    </row>
    <row r="200" spans="1:17" x14ac:dyDescent="0.25">
      <c r="A200" t="s">
        <v>300</v>
      </c>
      <c r="B200" s="65" t="s">
        <v>1</v>
      </c>
      <c r="C200" s="65"/>
      <c r="D200" s="65"/>
      <c r="E200" s="65"/>
    </row>
    <row r="201" spans="1:17" x14ac:dyDescent="0.25">
      <c r="A201" t="s">
        <v>301</v>
      </c>
      <c r="B201" s="65" t="s">
        <v>1</v>
      </c>
      <c r="C201" s="65"/>
      <c r="D201" s="65"/>
      <c r="E201" s="65"/>
    </row>
  </sheetData>
  <sheetProtection password="CF66" sheet="1" objects="1" scenarios="1" formatColumns="0" formatRows="0"/>
  <mergeCells count="77">
    <mergeCell ref="B201:E201"/>
    <mergeCell ref="A195:Q195"/>
    <mergeCell ref="B197:E197"/>
    <mergeCell ref="B198:E198"/>
    <mergeCell ref="B199:E199"/>
    <mergeCell ref="B200:E200"/>
    <mergeCell ref="E176:S176"/>
    <mergeCell ref="E180:S180"/>
    <mergeCell ref="E184:S184"/>
    <mergeCell ref="E188:S188"/>
    <mergeCell ref="A193:Q193"/>
    <mergeCell ref="E156:S156"/>
    <mergeCell ref="E160:S160"/>
    <mergeCell ref="E164:S164"/>
    <mergeCell ref="E168:S168"/>
    <mergeCell ref="E172:S172"/>
    <mergeCell ref="E136:S136"/>
    <mergeCell ref="E140:S140"/>
    <mergeCell ref="E144:S144"/>
    <mergeCell ref="E148:S148"/>
    <mergeCell ref="E152:S152"/>
    <mergeCell ref="E116:S116"/>
    <mergeCell ref="E120:S120"/>
    <mergeCell ref="E124:S124"/>
    <mergeCell ref="E128:S128"/>
    <mergeCell ref="E132:S132"/>
    <mergeCell ref="E96:S96"/>
    <mergeCell ref="E100:S100"/>
    <mergeCell ref="E104:S104"/>
    <mergeCell ref="E108:S108"/>
    <mergeCell ref="E112:S112"/>
    <mergeCell ref="E76:S76"/>
    <mergeCell ref="E80:S80"/>
    <mergeCell ref="E84:S84"/>
    <mergeCell ref="E88:S88"/>
    <mergeCell ref="E92:S92"/>
    <mergeCell ref="E56:S56"/>
    <mergeCell ref="E60:S60"/>
    <mergeCell ref="E64:S64"/>
    <mergeCell ref="E68:S68"/>
    <mergeCell ref="E72:S72"/>
    <mergeCell ref="E36:S36"/>
    <mergeCell ref="E40:S40"/>
    <mergeCell ref="E44:S44"/>
    <mergeCell ref="E48:S48"/>
    <mergeCell ref="E52:S52"/>
    <mergeCell ref="E16:S16"/>
    <mergeCell ref="E20:S20"/>
    <mergeCell ref="E24:S24"/>
    <mergeCell ref="E28:S28"/>
    <mergeCell ref="E32:S32"/>
    <mergeCell ref="Q3:Q4"/>
    <mergeCell ref="R3:S3"/>
    <mergeCell ref="E7:S7"/>
    <mergeCell ref="E10:S10"/>
    <mergeCell ref="E12:S12"/>
    <mergeCell ref="I3:I4"/>
    <mergeCell ref="J3:J4"/>
    <mergeCell ref="K3:K4"/>
    <mergeCell ref="L3:L4"/>
    <mergeCell ref="P3:P4"/>
    <mergeCell ref="A1:S1"/>
    <mergeCell ref="A2:A5"/>
    <mergeCell ref="B2:B5"/>
    <mergeCell ref="C2:C5"/>
    <mergeCell ref="D2:D5"/>
    <mergeCell ref="E2:F2"/>
    <mergeCell ref="G2:H2"/>
    <mergeCell ref="I2:J2"/>
    <mergeCell ref="K2:L2"/>
    <mergeCell ref="M2:O2"/>
    <mergeCell ref="P2:Q2"/>
    <mergeCell ref="R2:S2"/>
    <mergeCell ref="E3:E4"/>
    <mergeCell ref="F3:F4"/>
    <mergeCell ref="G3:G4"/>
    <mergeCell ref="H3:H4"/>
  </mergeCells>
  <conditionalFormatting sqref="G6">
    <cfRule type="cellIs" dxfId="1505" priority="1" operator="notEqual">
      <formula>ROUND(SUM(G8:G9),1)</formula>
    </cfRule>
  </conditionalFormatting>
  <conditionalFormatting sqref="H6">
    <cfRule type="cellIs" dxfId="1504" priority="2" operator="notEqual">
      <formula>ROUND(SUM(H8:H9),1)</formula>
    </cfRule>
  </conditionalFormatting>
  <conditionalFormatting sqref="I6">
    <cfRule type="cellIs" dxfId="1503" priority="3" operator="notEqual">
      <formula>ROUND(SUM(I8:I9),1)</formula>
    </cfRule>
  </conditionalFormatting>
  <conditionalFormatting sqref="J6">
    <cfRule type="cellIs" dxfId="1502" priority="4" operator="notEqual">
      <formula>ROUND(SUM(J8:J9),1)</formula>
    </cfRule>
  </conditionalFormatting>
  <conditionalFormatting sqref="O6">
    <cfRule type="cellIs" dxfId="1501" priority="5" operator="notEqual">
      <formula>ROUND(G6/H6*100,1)</formula>
    </cfRule>
  </conditionalFormatting>
  <conditionalFormatting sqref="P6">
    <cfRule type="cellIs" dxfId="1500" priority="6" operator="notEqual">
      <formula>ROUND(SUM(P8:P9),1)</formula>
    </cfRule>
  </conditionalFormatting>
  <conditionalFormatting sqref="Q6">
    <cfRule type="cellIs" dxfId="1499" priority="7" operator="notEqual">
      <formula>ROUND(SUM(Q8:Q9),1)</formula>
    </cfRule>
  </conditionalFormatting>
  <conditionalFormatting sqref="I8">
    <cfRule type="cellIs" dxfId="1498" priority="8" operator="notEqual">
      <formula>ROUND(G8/G6*100,1)</formula>
    </cfRule>
  </conditionalFormatting>
  <conditionalFormatting sqref="J8">
    <cfRule type="cellIs" dxfId="1497" priority="9" operator="notEqual">
      <formula>ROUND(H8/H6*100,1)</formula>
    </cfRule>
  </conditionalFormatting>
  <conditionalFormatting sqref="O8">
    <cfRule type="cellIs" dxfId="1496" priority="10" operator="notEqual">
      <formula>ROUND(G8/H8*100,1)</formula>
    </cfRule>
  </conditionalFormatting>
  <conditionalFormatting sqref="P8">
    <cfRule type="cellIs" dxfId="1495" priority="11" operator="notEqual">
      <formula>ROUND(G8/G6*100,1)</formula>
    </cfRule>
  </conditionalFormatting>
  <conditionalFormatting sqref="Q8">
    <cfRule type="cellIs" dxfId="1494" priority="12" operator="notEqual">
      <formula>ROUND(H8/H6*100,1)</formula>
    </cfRule>
  </conditionalFormatting>
  <conditionalFormatting sqref="I9">
    <cfRule type="cellIs" dxfId="1493" priority="13" operator="notEqual">
      <formula>ROUND(G9/G6*100,1)</formula>
    </cfRule>
  </conditionalFormatting>
  <conditionalFormatting sqref="J9">
    <cfRule type="cellIs" dxfId="1492" priority="14" operator="notEqual">
      <formula>ROUND(H9/H6*100,1)</formula>
    </cfRule>
  </conditionalFormatting>
  <conditionalFormatting sqref="O9">
    <cfRule type="cellIs" dxfId="1491" priority="15" operator="notEqual">
      <formula>ROUND(G9/H9*100,1)</formula>
    </cfRule>
  </conditionalFormatting>
  <conditionalFormatting sqref="P9">
    <cfRule type="cellIs" dxfId="1490" priority="16" operator="notEqual">
      <formula>ROUND(G9/G6*100,1)</formula>
    </cfRule>
  </conditionalFormatting>
  <conditionalFormatting sqref="Q9">
    <cfRule type="cellIs" dxfId="1489" priority="17" operator="notEqual">
      <formula>ROUND(H9/H6*100,1)</formula>
    </cfRule>
  </conditionalFormatting>
  <conditionalFormatting sqref="E11">
    <cfRule type="cellIs" dxfId="1488" priority="18" operator="notEqual">
      <formula>ROUND(SUM(E13:E14),1)</formula>
    </cfRule>
  </conditionalFormatting>
  <conditionalFormatting sqref="F11">
    <cfRule type="cellIs" dxfId="1487" priority="19" operator="notEqual">
      <formula>ROUND(SUM(F13:F14),1)</formula>
    </cfRule>
  </conditionalFormatting>
  <conditionalFormatting sqref="G11">
    <cfRule type="cellIs" dxfId="1486" priority="20" operator="notEqual">
      <formula>ROUND(SUM(G13:G14),1)</formula>
    </cfRule>
  </conditionalFormatting>
  <conditionalFormatting sqref="H11">
    <cfRule type="cellIs" dxfId="1485" priority="21" operator="notEqual">
      <formula>ROUND(SUM(H13:H14),1)</formula>
    </cfRule>
  </conditionalFormatting>
  <conditionalFormatting sqref="I11">
    <cfRule type="cellIs" dxfId="1484" priority="22" operator="notEqual">
      <formula>ROUND(G11/G6*100,1)</formula>
    </cfRule>
  </conditionalFormatting>
  <conditionalFormatting sqref="J11">
    <cfRule type="cellIs" dxfId="1483" priority="23" operator="notEqual">
      <formula>ROUND(H11/H6*100,1)</formula>
    </cfRule>
  </conditionalFormatting>
  <conditionalFormatting sqref="K11">
    <cfRule type="cellIs" dxfId="1482" priority="24" operator="notEqual">
      <formula>ROUND(G11/E11*1000,1)</formula>
    </cfRule>
  </conditionalFormatting>
  <conditionalFormatting sqref="L11">
    <cfRule type="cellIs" dxfId="1481" priority="25" operator="notEqual">
      <formula>ROUND(H11/F11*1000,1)</formula>
    </cfRule>
  </conditionalFormatting>
  <conditionalFormatting sqref="M11">
    <cfRule type="cellIs" dxfId="1480" priority="26" operator="notEqual">
      <formula>ROUND(K11/L11*100,1)</formula>
    </cfRule>
  </conditionalFormatting>
  <conditionalFormatting sqref="N11">
    <cfRule type="cellIs" dxfId="1479" priority="27" operator="notEqual">
      <formula>ROUND(E11/F11*100,1)</formula>
    </cfRule>
  </conditionalFormatting>
  <conditionalFormatting sqref="O11">
    <cfRule type="cellIs" dxfId="1478" priority="28" operator="notEqual">
      <formula>ROUND(G11/H11*100,1)</formula>
    </cfRule>
  </conditionalFormatting>
  <conditionalFormatting sqref="P11">
    <cfRule type="cellIs" dxfId="1477" priority="29" operator="notEqual">
      <formula>ROUND(SUM(P13:P14),1)</formula>
    </cfRule>
  </conditionalFormatting>
  <conditionalFormatting sqref="Q11">
    <cfRule type="cellIs" dxfId="1476" priority="30" operator="notEqual">
      <formula>ROUND(SUM(Q13:Q14),1)</formula>
    </cfRule>
  </conditionalFormatting>
  <conditionalFormatting sqref="I13">
    <cfRule type="cellIs" dxfId="1475" priority="31" operator="notEqual">
      <formula>ROUND(G13/G8*100,1)</formula>
    </cfRule>
  </conditionalFormatting>
  <conditionalFormatting sqref="J13">
    <cfRule type="cellIs" dxfId="1474" priority="32" operator="notEqual">
      <formula>ROUND(H13/H8*100,1)</formula>
    </cfRule>
  </conditionalFormatting>
  <conditionalFormatting sqref="K13">
    <cfRule type="cellIs" dxfId="1473" priority="33" operator="notEqual">
      <formula>ROUND(G13/E13*1000,1)</formula>
    </cfRule>
  </conditionalFormatting>
  <conditionalFormatting sqref="L13">
    <cfRule type="cellIs" dxfId="1472" priority="34" operator="notEqual">
      <formula>ROUND(H13/F13*1000,1)</formula>
    </cfRule>
  </conditionalFormatting>
  <conditionalFormatting sqref="M13">
    <cfRule type="cellIs" dxfId="1471" priority="35" operator="notEqual">
      <formula>ROUND(K13/L13*100,1)</formula>
    </cfRule>
  </conditionalFormatting>
  <conditionalFormatting sqref="N13">
    <cfRule type="cellIs" dxfId="1470" priority="36" operator="notEqual">
      <formula>ROUND(E13/F13*100,1)</formula>
    </cfRule>
  </conditionalFormatting>
  <conditionalFormatting sqref="O13">
    <cfRule type="cellIs" dxfId="1469" priority="37" operator="notEqual">
      <formula>ROUND(G13/H13*100,1)</formula>
    </cfRule>
  </conditionalFormatting>
  <conditionalFormatting sqref="P13">
    <cfRule type="cellIs" dxfId="1468" priority="38" operator="notEqual">
      <formula>ROUND(E13/E11*100,1)</formula>
    </cfRule>
  </conditionalFormatting>
  <conditionalFormatting sqref="Q13">
    <cfRule type="cellIs" dxfId="1467" priority="39" operator="notEqual">
      <formula>ROUND(F13/F11*100,1)</formula>
    </cfRule>
  </conditionalFormatting>
  <conditionalFormatting sqref="R13">
    <cfRule type="cellIs" dxfId="1466" priority="40" operator="notEqual">
      <formula>ROUND(K13/K14*100,1)</formula>
    </cfRule>
  </conditionalFormatting>
  <conditionalFormatting sqref="S13">
    <cfRule type="cellIs" dxfId="1465" priority="41" operator="notEqual">
      <formula>ROUND(L13/L14*100,1)</formula>
    </cfRule>
  </conditionalFormatting>
  <conditionalFormatting sqref="I14">
    <cfRule type="cellIs" dxfId="1464" priority="42" operator="notEqual">
      <formula>ROUND(G14/G9*100,1)</formula>
    </cfRule>
  </conditionalFormatting>
  <conditionalFormatting sqref="J14">
    <cfRule type="cellIs" dxfId="1463" priority="43" operator="notEqual">
      <formula>ROUND(H14/H9*100,1)</formula>
    </cfRule>
  </conditionalFormatting>
  <conditionalFormatting sqref="K14">
    <cfRule type="cellIs" dxfId="1462" priority="44" operator="notEqual">
      <formula>ROUND(G14/E14*1000,1)</formula>
    </cfRule>
  </conditionalFormatting>
  <conditionalFormatting sqref="L14">
    <cfRule type="cellIs" dxfId="1461" priority="45" operator="notEqual">
      <formula>ROUND(H14/F14*1000,1)</formula>
    </cfRule>
  </conditionalFormatting>
  <conditionalFormatting sqref="M14">
    <cfRule type="cellIs" dxfId="1460" priority="46" operator="notEqual">
      <formula>ROUND(K14/L14*100,1)</formula>
    </cfRule>
  </conditionalFormatting>
  <conditionalFormatting sqref="N14">
    <cfRule type="cellIs" dxfId="1459" priority="47" operator="notEqual">
      <formula>ROUND(E14/F14*100,1)</formula>
    </cfRule>
  </conditionalFormatting>
  <conditionalFormatting sqref="O14">
    <cfRule type="cellIs" dxfId="1458" priority="48" operator="notEqual">
      <formula>ROUND(G14/H14*100,1)</formula>
    </cfRule>
  </conditionalFormatting>
  <conditionalFormatting sqref="P14">
    <cfRule type="cellIs" dxfId="1457" priority="49" operator="notEqual">
      <formula>ROUND(E14/E11*100,1)</formula>
    </cfRule>
  </conditionalFormatting>
  <conditionalFormatting sqref="Q14">
    <cfRule type="cellIs" dxfId="1456" priority="50" operator="notEqual">
      <formula>ROUND(F14/F11*100,1)</formula>
    </cfRule>
  </conditionalFormatting>
  <conditionalFormatting sqref="R14">
    <cfRule type="cellIs" dxfId="1455" priority="51" operator="notEqual">
      <formula>ROUND(K14/K13*100,1)</formula>
    </cfRule>
  </conditionalFormatting>
  <conditionalFormatting sqref="S14">
    <cfRule type="cellIs" dxfId="1454" priority="52" operator="notEqual">
      <formula>ROUND(L14/L13*100,1)</formula>
    </cfRule>
  </conditionalFormatting>
  <conditionalFormatting sqref="E15">
    <cfRule type="cellIs" dxfId="1453" priority="53" operator="notEqual">
      <formula>ROUND(SUM(E17:E18),1)</formula>
    </cfRule>
  </conditionalFormatting>
  <conditionalFormatting sqref="F15">
    <cfRule type="cellIs" dxfId="1452" priority="54" operator="notEqual">
      <formula>ROUND(SUM(F17:F18),1)</formula>
    </cfRule>
  </conditionalFormatting>
  <conditionalFormatting sqref="G15">
    <cfRule type="cellIs" dxfId="1451" priority="55" operator="notEqual">
      <formula>ROUND(SUM(G17:G18),1)</formula>
    </cfRule>
  </conditionalFormatting>
  <conditionalFormatting sqref="J15">
    <cfRule type="cellIs" dxfId="1450" priority="56" operator="notEqual">
      <formula>ROUND(H15/H6*100,1)</formula>
    </cfRule>
  </conditionalFormatting>
  <conditionalFormatting sqref="K15">
    <cfRule type="cellIs" dxfId="1449" priority="57" operator="notEqual">
      <formula>ROUND(G15/E15*1000,1)</formula>
    </cfRule>
  </conditionalFormatting>
  <conditionalFormatting sqref="L15">
    <cfRule type="cellIs" dxfId="1448" priority="58" operator="notEqual">
      <formula>ROUND(H15/F15*1000,1)</formula>
    </cfRule>
  </conditionalFormatting>
  <conditionalFormatting sqref="M15">
    <cfRule type="cellIs" dxfId="1447" priority="59" operator="notEqual">
      <formula>ROUND(K15/L15*100,1)</formula>
    </cfRule>
  </conditionalFormatting>
  <conditionalFormatting sqref="N15">
    <cfRule type="cellIs" dxfId="1446" priority="60" operator="notEqual">
      <formula>ROUND(E15/F15*100,1)</formula>
    </cfRule>
  </conditionalFormatting>
  <conditionalFormatting sqref="O15">
    <cfRule type="cellIs" dxfId="1445" priority="61" operator="notEqual">
      <formula>ROUND(G15/H15*100,1)</formula>
    </cfRule>
  </conditionalFormatting>
  <conditionalFormatting sqref="P15">
    <cfRule type="cellIs" dxfId="1444" priority="62" operator="notEqual">
      <formula>ROUND(SUM(P17:P18),1)</formula>
    </cfRule>
  </conditionalFormatting>
  <conditionalFormatting sqref="Q15">
    <cfRule type="cellIs" dxfId="1443" priority="63" operator="notEqual">
      <formula>ROUND(SUM(Q17:Q18),1)</formula>
    </cfRule>
  </conditionalFormatting>
  <conditionalFormatting sqref="I17">
    <cfRule type="cellIs" dxfId="1442" priority="64" operator="notEqual">
      <formula>ROUND(G17/G8*100,1)</formula>
    </cfRule>
  </conditionalFormatting>
  <conditionalFormatting sqref="J17">
    <cfRule type="cellIs" dxfId="1441" priority="65" operator="notEqual">
      <formula>ROUND(H17/H8*100,1)</formula>
    </cfRule>
  </conditionalFormatting>
  <conditionalFormatting sqref="K17">
    <cfRule type="cellIs" dxfId="1440" priority="66" operator="notEqual">
      <formula>ROUND(G17/E17*1000,1)</formula>
    </cfRule>
  </conditionalFormatting>
  <conditionalFormatting sqref="L17">
    <cfRule type="cellIs" dxfId="1439" priority="67" operator="notEqual">
      <formula>ROUND(H17/F17*1000,1)</formula>
    </cfRule>
  </conditionalFormatting>
  <conditionalFormatting sqref="M17">
    <cfRule type="cellIs" dxfId="1438" priority="68" operator="notEqual">
      <formula>ROUND(K17/L17*100,1)</formula>
    </cfRule>
  </conditionalFormatting>
  <conditionalFormatting sqref="N17">
    <cfRule type="cellIs" dxfId="1437" priority="69" operator="notEqual">
      <formula>ROUND(E17/F17*100,1)</formula>
    </cfRule>
  </conditionalFormatting>
  <conditionalFormatting sqref="O17">
    <cfRule type="cellIs" dxfId="1436" priority="70" operator="notEqual">
      <formula>ROUND(G17/H17*100,1)</formula>
    </cfRule>
  </conditionalFormatting>
  <conditionalFormatting sqref="P17">
    <cfRule type="cellIs" dxfId="1435" priority="71" operator="notEqual">
      <formula>ROUND(E17/E15*100,1)</formula>
    </cfRule>
  </conditionalFormatting>
  <conditionalFormatting sqref="Q17">
    <cfRule type="cellIs" dxfId="1434" priority="72" operator="notEqual">
      <formula>ROUND(F17/F15*100,1)</formula>
    </cfRule>
  </conditionalFormatting>
  <conditionalFormatting sqref="R17">
    <cfRule type="cellIs" dxfId="1433" priority="73" operator="notEqual">
      <formula>ROUND(K17/K18*100,1)</formula>
    </cfRule>
  </conditionalFormatting>
  <conditionalFormatting sqref="S17">
    <cfRule type="cellIs" dxfId="1432" priority="74" operator="notEqual">
      <formula>ROUND(L17/L18*100,1)</formula>
    </cfRule>
  </conditionalFormatting>
  <conditionalFormatting sqref="I18">
    <cfRule type="cellIs" dxfId="1431" priority="75" operator="notEqual">
      <formula>ROUND(G18/G9*100,1)</formula>
    </cfRule>
  </conditionalFormatting>
  <conditionalFormatting sqref="J18">
    <cfRule type="cellIs" dxfId="1430" priority="76" operator="notEqual">
      <formula>ROUND(H18/H9*100,1)</formula>
    </cfRule>
  </conditionalFormatting>
  <conditionalFormatting sqref="K18">
    <cfRule type="cellIs" dxfId="1429" priority="77" operator="notEqual">
      <formula>ROUND(G18/E18*1000,1)</formula>
    </cfRule>
  </conditionalFormatting>
  <conditionalFormatting sqref="L18">
    <cfRule type="cellIs" dxfId="1428" priority="78" operator="notEqual">
      <formula>ROUND(H18/F18*1000,1)</formula>
    </cfRule>
  </conditionalFormatting>
  <conditionalFormatting sqref="M18">
    <cfRule type="cellIs" dxfId="1427" priority="79" operator="notEqual">
      <formula>ROUND(K18/L18*100,1)</formula>
    </cfRule>
  </conditionalFormatting>
  <conditionalFormatting sqref="N18">
    <cfRule type="cellIs" dxfId="1426" priority="80" operator="notEqual">
      <formula>ROUND(E18/F18*100,1)</formula>
    </cfRule>
  </conditionalFormatting>
  <conditionalFormatting sqref="O18">
    <cfRule type="cellIs" dxfId="1425" priority="81" operator="notEqual">
      <formula>ROUND(G18/H18*100,1)</formula>
    </cfRule>
  </conditionalFormatting>
  <conditionalFormatting sqref="P18">
    <cfRule type="cellIs" dxfId="1424" priority="82" operator="notEqual">
      <formula>ROUND(E18/E15*100,1)</formula>
    </cfRule>
  </conditionalFormatting>
  <conditionalFormatting sqref="Q18">
    <cfRule type="cellIs" dxfId="1423" priority="83" operator="notEqual">
      <formula>ROUND(F18/F15*100,1)</formula>
    </cfRule>
  </conditionalFormatting>
  <conditionalFormatting sqref="R18">
    <cfRule type="cellIs" dxfId="1422" priority="84" operator="notEqual">
      <formula>ROUND(K18/K17*100,1)</formula>
    </cfRule>
  </conditionalFormatting>
  <conditionalFormatting sqref="S18">
    <cfRule type="cellIs" dxfId="1421" priority="85" operator="notEqual">
      <formula>ROUND(L18/L17*100,1)</formula>
    </cfRule>
  </conditionalFormatting>
  <conditionalFormatting sqref="E19">
    <cfRule type="cellIs" dxfId="1420" priority="86" operator="notEqual">
      <formula>ROUND(SUM(E21:E22),1)</formula>
    </cfRule>
  </conditionalFormatting>
  <conditionalFormatting sqref="F19">
    <cfRule type="cellIs" dxfId="1419" priority="87" operator="notEqual">
      <formula>ROUND(SUM(F21:F22),1)</formula>
    </cfRule>
  </conditionalFormatting>
  <conditionalFormatting sqref="G19">
    <cfRule type="cellIs" dxfId="1418" priority="88" operator="notEqual">
      <formula>ROUND(SUM(G21:G22),1)</formula>
    </cfRule>
  </conditionalFormatting>
  <conditionalFormatting sqref="H19">
    <cfRule type="cellIs" dxfId="1417" priority="89" operator="notEqual">
      <formula>ROUND(SUM(H21:H22),1)</formula>
    </cfRule>
  </conditionalFormatting>
  <conditionalFormatting sqref="I19">
    <cfRule type="cellIs" dxfId="1416" priority="90" operator="notEqual">
      <formula>ROUND(G19/G6*100,1)</formula>
    </cfRule>
  </conditionalFormatting>
  <conditionalFormatting sqref="J19">
    <cfRule type="cellIs" dxfId="1415" priority="91" operator="notEqual">
      <formula>ROUND(H19/H6*100,1)</formula>
    </cfRule>
  </conditionalFormatting>
  <conditionalFormatting sqref="K19">
    <cfRule type="cellIs" dxfId="1414" priority="92" operator="notEqual">
      <formula>ROUND(G19/E19*1000,1)</formula>
    </cfRule>
  </conditionalFormatting>
  <conditionalFormatting sqref="L19">
    <cfRule type="cellIs" dxfId="1413" priority="93" operator="notEqual">
      <formula>ROUND(H19/F19*1000,1)</formula>
    </cfRule>
  </conditionalFormatting>
  <conditionalFormatting sqref="M19">
    <cfRule type="cellIs" dxfId="1412" priority="94" operator="notEqual">
      <formula>ROUND(K19/L19*100,1)</formula>
    </cfRule>
  </conditionalFormatting>
  <conditionalFormatting sqref="N19">
    <cfRule type="cellIs" dxfId="1411" priority="95" operator="notEqual">
      <formula>ROUND(E19/F19*100,1)</formula>
    </cfRule>
  </conditionalFormatting>
  <conditionalFormatting sqref="O19">
    <cfRule type="cellIs" dxfId="1410" priority="96" operator="notEqual">
      <formula>ROUND(G19/H19*100,1)</formula>
    </cfRule>
  </conditionalFormatting>
  <conditionalFormatting sqref="P19">
    <cfRule type="cellIs" dxfId="1409" priority="97" operator="notEqual">
      <formula>ROUND(SUM(P21:P22),1)</formula>
    </cfRule>
  </conditionalFormatting>
  <conditionalFormatting sqref="Q19">
    <cfRule type="cellIs" dxfId="1408" priority="98" operator="notEqual">
      <formula>ROUND(SUM(Q21:Q22),1)</formula>
    </cfRule>
  </conditionalFormatting>
  <conditionalFormatting sqref="I21">
    <cfRule type="cellIs" dxfId="1407" priority="99" operator="notEqual">
      <formula>ROUND(G21/G8*100,1)</formula>
    </cfRule>
  </conditionalFormatting>
  <conditionalFormatting sqref="J21">
    <cfRule type="cellIs" dxfId="1406" priority="100" operator="notEqual">
      <formula>ROUND(H21/H8*100,1)</formula>
    </cfRule>
  </conditionalFormatting>
  <conditionalFormatting sqref="K21">
    <cfRule type="cellIs" dxfId="1405" priority="101" operator="notEqual">
      <formula>ROUND(G21/E21*1000,1)</formula>
    </cfRule>
  </conditionalFormatting>
  <conditionalFormatting sqref="L21">
    <cfRule type="cellIs" dxfId="1404" priority="102" operator="notEqual">
      <formula>ROUND(H21/F21*1000,1)</formula>
    </cfRule>
  </conditionalFormatting>
  <conditionalFormatting sqref="M21">
    <cfRule type="cellIs" dxfId="1403" priority="103" operator="notEqual">
      <formula>ROUND(K21/L21*100,1)</formula>
    </cfRule>
  </conditionalFormatting>
  <conditionalFormatting sqref="N21">
    <cfRule type="cellIs" dxfId="1402" priority="104" operator="notEqual">
      <formula>ROUND(E21/F21*100,1)</formula>
    </cfRule>
  </conditionalFormatting>
  <conditionalFormatting sqref="O21">
    <cfRule type="cellIs" dxfId="1401" priority="105" operator="notEqual">
      <formula>ROUND(G21/H21*100,1)</formula>
    </cfRule>
  </conditionalFormatting>
  <conditionalFormatting sqref="P21">
    <cfRule type="cellIs" dxfId="1400" priority="106" operator="notEqual">
      <formula>ROUND(E21/E19*100,1)</formula>
    </cfRule>
  </conditionalFormatting>
  <conditionalFormatting sqref="Q21">
    <cfRule type="cellIs" dxfId="1399" priority="107" operator="notEqual">
      <formula>ROUND(F21/F19*100,1)</formula>
    </cfRule>
  </conditionalFormatting>
  <conditionalFormatting sqref="R21">
    <cfRule type="cellIs" dxfId="1398" priority="108" operator="notEqual">
      <formula>ROUND(K21/K22*100,1)</formula>
    </cfRule>
  </conditionalFormatting>
  <conditionalFormatting sqref="S21">
    <cfRule type="cellIs" dxfId="1397" priority="109" operator="notEqual">
      <formula>ROUND(L21/L22*100,1)</formula>
    </cfRule>
  </conditionalFormatting>
  <conditionalFormatting sqref="I22">
    <cfRule type="cellIs" dxfId="1396" priority="110" operator="notEqual">
      <formula>ROUND(G22/G9*100,1)</formula>
    </cfRule>
  </conditionalFormatting>
  <conditionalFormatting sqref="J22">
    <cfRule type="cellIs" dxfId="1395" priority="111" operator="notEqual">
      <formula>ROUND(H22/H9*100,1)</formula>
    </cfRule>
  </conditionalFormatting>
  <conditionalFormatting sqref="K22">
    <cfRule type="cellIs" dxfId="1394" priority="112" operator="notEqual">
      <formula>ROUND(G22/E22*1000,1)</formula>
    </cfRule>
  </conditionalFormatting>
  <conditionalFormatting sqref="L22">
    <cfRule type="cellIs" dxfId="1393" priority="113" operator="notEqual">
      <formula>ROUND(H22/F22*1000,1)</formula>
    </cfRule>
  </conditionalFormatting>
  <conditionalFormatting sqref="M22">
    <cfRule type="cellIs" dxfId="1392" priority="114" operator="notEqual">
      <formula>ROUND(K22/L22*100,1)</formula>
    </cfRule>
  </conditionalFormatting>
  <conditionalFormatting sqref="N22">
    <cfRule type="cellIs" dxfId="1391" priority="115" operator="notEqual">
      <formula>ROUND(E22/F22*100,1)</formula>
    </cfRule>
  </conditionalFormatting>
  <conditionalFormatting sqref="O22">
    <cfRule type="cellIs" dxfId="1390" priority="116" operator="notEqual">
      <formula>ROUND(G22/H22*100,1)</formula>
    </cfRule>
  </conditionalFormatting>
  <conditionalFormatting sqref="P22">
    <cfRule type="cellIs" dxfId="1389" priority="117" operator="notEqual">
      <formula>ROUND(E22/E19*100,1)</formula>
    </cfRule>
  </conditionalFormatting>
  <conditionalFormatting sqref="Q22">
    <cfRule type="cellIs" dxfId="1388" priority="118" operator="notEqual">
      <formula>ROUND(F22/F19*100,1)</formula>
    </cfRule>
  </conditionalFormatting>
  <conditionalFormatting sqref="R22">
    <cfRule type="cellIs" dxfId="1387" priority="119" operator="notEqual">
      <formula>ROUND(K22/K21*100,1)</formula>
    </cfRule>
  </conditionalFormatting>
  <conditionalFormatting sqref="S22">
    <cfRule type="cellIs" dxfId="1386" priority="120" operator="notEqual">
      <formula>ROUND(L22/L21*100,1)</formula>
    </cfRule>
  </conditionalFormatting>
  <conditionalFormatting sqref="E23">
    <cfRule type="cellIs" dxfId="1385" priority="121" operator="notEqual">
      <formula>ROUND(SUM(E25:E26),1)</formula>
    </cfRule>
  </conditionalFormatting>
  <conditionalFormatting sqref="F23">
    <cfRule type="cellIs" dxfId="1384" priority="122" operator="notEqual">
      <formula>ROUND(SUM(F25:F26),1)</formula>
    </cfRule>
  </conditionalFormatting>
  <conditionalFormatting sqref="G23">
    <cfRule type="cellIs" dxfId="1383" priority="123" operator="notEqual">
      <formula>ROUND(SUM(G25:G26),1)</formula>
    </cfRule>
  </conditionalFormatting>
  <conditionalFormatting sqref="H23">
    <cfRule type="cellIs" dxfId="1382" priority="124" operator="notEqual">
      <formula>ROUND(SUM(H25:H26),1)</formula>
    </cfRule>
  </conditionalFormatting>
  <conditionalFormatting sqref="I23">
    <cfRule type="cellIs" dxfId="1381" priority="125" operator="notEqual">
      <formula>ROUND(G23/G6*100,1)</formula>
    </cfRule>
  </conditionalFormatting>
  <conditionalFormatting sqref="J23">
    <cfRule type="cellIs" dxfId="1380" priority="126" operator="notEqual">
      <formula>ROUND(H23/H6*100,1)</formula>
    </cfRule>
  </conditionalFormatting>
  <conditionalFormatting sqref="K23">
    <cfRule type="cellIs" dxfId="1379" priority="127" operator="notEqual">
      <formula>ROUND(G23/E23*1000,1)</formula>
    </cfRule>
  </conditionalFormatting>
  <conditionalFormatting sqref="L23">
    <cfRule type="cellIs" dxfId="1378" priority="128" operator="notEqual">
      <formula>ROUND(H23/F23*1000,1)</formula>
    </cfRule>
  </conditionalFormatting>
  <conditionalFormatting sqref="M23">
    <cfRule type="cellIs" dxfId="1377" priority="129" operator="notEqual">
      <formula>ROUND(K23/L23*100,1)</formula>
    </cfRule>
  </conditionalFormatting>
  <conditionalFormatting sqref="N23">
    <cfRule type="cellIs" dxfId="1376" priority="130" operator="notEqual">
      <formula>ROUND(E23/F23*100,1)</formula>
    </cfRule>
  </conditionalFormatting>
  <conditionalFormatting sqref="O23">
    <cfRule type="cellIs" dxfId="1375" priority="131" operator="notEqual">
      <formula>ROUND(G23/H23*100,1)</formula>
    </cfRule>
  </conditionalFormatting>
  <conditionalFormatting sqref="P23">
    <cfRule type="cellIs" dxfId="1374" priority="132" operator="notEqual">
      <formula>ROUND(SUM(P25:P26),1)</formula>
    </cfRule>
  </conditionalFormatting>
  <conditionalFormatting sqref="Q23">
    <cfRule type="cellIs" dxfId="1373" priority="133" operator="notEqual">
      <formula>ROUND(SUM(Q25:Q26),1)</formula>
    </cfRule>
  </conditionalFormatting>
  <conditionalFormatting sqref="I25">
    <cfRule type="cellIs" dxfId="1372" priority="134" operator="notEqual">
      <formula>ROUND(G25/G8*100,1)</formula>
    </cfRule>
  </conditionalFormatting>
  <conditionalFormatting sqref="J25">
    <cfRule type="cellIs" dxfId="1371" priority="135" operator="notEqual">
      <formula>ROUND(H25/H8*100,1)</formula>
    </cfRule>
  </conditionalFormatting>
  <conditionalFormatting sqref="K25">
    <cfRule type="cellIs" dxfId="1370" priority="136" operator="notEqual">
      <formula>ROUND(G25/E25*1000,1)</formula>
    </cfRule>
  </conditionalFormatting>
  <conditionalFormatting sqref="L25">
    <cfRule type="cellIs" dxfId="1369" priority="137" operator="notEqual">
      <formula>ROUND(H25/F25*1000,1)</formula>
    </cfRule>
  </conditionalFormatting>
  <conditionalFormatting sqref="M25">
    <cfRule type="cellIs" dxfId="1368" priority="138" operator="notEqual">
      <formula>ROUND(K25/L25*100,1)</formula>
    </cfRule>
  </conditionalFormatting>
  <conditionalFormatting sqref="N25">
    <cfRule type="cellIs" dxfId="1367" priority="139" operator="notEqual">
      <formula>ROUND(E25/F25*100,1)</formula>
    </cfRule>
  </conditionalFormatting>
  <conditionalFormatting sqref="O25">
    <cfRule type="cellIs" dxfId="1366" priority="140" operator="notEqual">
      <formula>ROUND(G25/H25*100,1)</formula>
    </cfRule>
  </conditionalFormatting>
  <conditionalFormatting sqref="P25">
    <cfRule type="cellIs" dxfId="1365" priority="141" operator="notEqual">
      <formula>ROUND(E25/E23*100,1)</formula>
    </cfRule>
  </conditionalFormatting>
  <conditionalFormatting sqref="Q25">
    <cfRule type="cellIs" dxfId="1364" priority="142" operator="notEqual">
      <formula>ROUND(F25/F23*100,1)</formula>
    </cfRule>
  </conditionalFormatting>
  <conditionalFormatting sqref="R25">
    <cfRule type="cellIs" dxfId="1363" priority="143" operator="notEqual">
      <formula>ROUND(K25/K26*100,1)</formula>
    </cfRule>
  </conditionalFormatting>
  <conditionalFormatting sqref="S25">
    <cfRule type="cellIs" dxfId="1362" priority="144" operator="notEqual">
      <formula>ROUND(L25/L26*100,1)</formula>
    </cfRule>
  </conditionalFormatting>
  <conditionalFormatting sqref="I26">
    <cfRule type="cellIs" dxfId="1361" priority="145" operator="notEqual">
      <formula>ROUND(G26/G9*100,1)</formula>
    </cfRule>
  </conditionalFormatting>
  <conditionalFormatting sqref="J26">
    <cfRule type="cellIs" dxfId="1360" priority="146" operator="notEqual">
      <formula>ROUND(H26/H9*100,1)</formula>
    </cfRule>
  </conditionalFormatting>
  <conditionalFormatting sqref="K26">
    <cfRule type="cellIs" dxfId="1359" priority="147" operator="notEqual">
      <formula>ROUND(G26/E26*1000,1)</formula>
    </cfRule>
  </conditionalFormatting>
  <conditionalFormatting sqref="L26">
    <cfRule type="cellIs" dxfId="1358" priority="148" operator="notEqual">
      <formula>ROUND(H26/F26*1000,1)</formula>
    </cfRule>
  </conditionalFormatting>
  <conditionalFormatting sqref="M26">
    <cfRule type="cellIs" dxfId="1357" priority="149" operator="notEqual">
      <formula>ROUND(K26/L26*100,1)</formula>
    </cfRule>
  </conditionalFormatting>
  <conditionalFormatting sqref="N26">
    <cfRule type="cellIs" dxfId="1356" priority="150" operator="notEqual">
      <formula>ROUND(E26/F26*100,1)</formula>
    </cfRule>
  </conditionalFormatting>
  <conditionalFormatting sqref="O26">
    <cfRule type="cellIs" dxfId="1355" priority="151" operator="notEqual">
      <formula>ROUND(G26/H26*100,1)</formula>
    </cfRule>
  </conditionalFormatting>
  <conditionalFormatting sqref="P26">
    <cfRule type="cellIs" dxfId="1354" priority="152" operator="notEqual">
      <formula>ROUND(E26/E23*100,1)</formula>
    </cfRule>
  </conditionalFormatting>
  <conditionalFormatting sqref="Q26">
    <cfRule type="cellIs" dxfId="1353" priority="153" operator="notEqual">
      <formula>ROUND(F26/F23*100,1)</formula>
    </cfRule>
  </conditionalFormatting>
  <conditionalFormatting sqref="R26">
    <cfRule type="cellIs" dxfId="1352" priority="154" operator="notEqual">
      <formula>ROUND(K26/K25*100,1)</formula>
    </cfRule>
  </conditionalFormatting>
  <conditionalFormatting sqref="S26">
    <cfRule type="cellIs" dxfId="1351" priority="155" operator="notEqual">
      <formula>ROUND(L26/L25*100,1)</formula>
    </cfRule>
  </conditionalFormatting>
  <conditionalFormatting sqref="E27">
    <cfRule type="cellIs" dxfId="1350" priority="156" operator="notEqual">
      <formula>ROUND(SUM(E29:E30),1)</formula>
    </cfRule>
  </conditionalFormatting>
  <conditionalFormatting sqref="F27">
    <cfRule type="cellIs" dxfId="1349" priority="157" operator="notEqual">
      <formula>ROUND(SUM(F29:F30),1)</formula>
    </cfRule>
  </conditionalFormatting>
  <conditionalFormatting sqref="G27">
    <cfRule type="cellIs" dxfId="1348" priority="158" operator="notEqual">
      <formula>ROUND(SUM(G29:G30),1)</formula>
    </cfRule>
  </conditionalFormatting>
  <conditionalFormatting sqref="H27">
    <cfRule type="cellIs" dxfId="1347" priority="159" operator="notEqual">
      <formula>ROUND(SUM(H29:H30),1)</formula>
    </cfRule>
  </conditionalFormatting>
  <conditionalFormatting sqref="I27">
    <cfRule type="cellIs" dxfId="1346" priority="160" operator="notEqual">
      <formula>ROUND(G27/G6*100,1)</formula>
    </cfRule>
  </conditionalFormatting>
  <conditionalFormatting sqref="J27">
    <cfRule type="cellIs" dxfId="1345" priority="161" operator="notEqual">
      <formula>ROUND(H27/H6*100,1)</formula>
    </cfRule>
  </conditionalFormatting>
  <conditionalFormatting sqref="K27">
    <cfRule type="cellIs" dxfId="1344" priority="162" operator="notEqual">
      <formula>ROUND(G27/E27*1000,1)</formula>
    </cfRule>
  </conditionalFormatting>
  <conditionalFormatting sqref="L27">
    <cfRule type="cellIs" dxfId="1343" priority="163" operator="notEqual">
      <formula>ROUND(H27/F27*1000,1)</formula>
    </cfRule>
  </conditionalFormatting>
  <conditionalFormatting sqref="M27">
    <cfRule type="cellIs" dxfId="1342" priority="164" operator="notEqual">
      <formula>ROUND(K27/L27*100,1)</formula>
    </cfRule>
  </conditionalFormatting>
  <conditionalFormatting sqref="N27">
    <cfRule type="cellIs" dxfId="1341" priority="165" operator="notEqual">
      <formula>ROUND(E27/F27*100,1)</formula>
    </cfRule>
  </conditionalFormatting>
  <conditionalFormatting sqref="O27">
    <cfRule type="cellIs" dxfId="1340" priority="166" operator="notEqual">
      <formula>ROUND(G27/H27*100,1)</formula>
    </cfRule>
  </conditionalFormatting>
  <conditionalFormatting sqref="P27">
    <cfRule type="cellIs" dxfId="1339" priority="167" operator="notEqual">
      <formula>ROUND(SUM(P29:P30),1)</formula>
    </cfRule>
  </conditionalFormatting>
  <conditionalFormatting sqref="Q27">
    <cfRule type="cellIs" dxfId="1338" priority="168" operator="notEqual">
      <formula>ROUND(SUM(Q29:Q30),1)</formula>
    </cfRule>
  </conditionalFormatting>
  <conditionalFormatting sqref="I29">
    <cfRule type="cellIs" dxfId="1337" priority="169" operator="notEqual">
      <formula>ROUND(G29/G8*100,1)</formula>
    </cfRule>
  </conditionalFormatting>
  <conditionalFormatting sqref="J29">
    <cfRule type="cellIs" dxfId="1336" priority="170" operator="notEqual">
      <formula>ROUND(H29/H8*100,1)</formula>
    </cfRule>
  </conditionalFormatting>
  <conditionalFormatting sqref="K29">
    <cfRule type="cellIs" dxfId="1335" priority="171" operator="notEqual">
      <formula>ROUND(G29/E29*1000,1)</formula>
    </cfRule>
  </conditionalFormatting>
  <conditionalFormatting sqref="L29">
    <cfRule type="cellIs" dxfId="1334" priority="172" operator="notEqual">
      <formula>ROUND(H29/F29*1000,1)</formula>
    </cfRule>
  </conditionalFormatting>
  <conditionalFormatting sqref="M29">
    <cfRule type="cellIs" dxfId="1333" priority="173" operator="notEqual">
      <formula>ROUND(K29/L29*100,1)</formula>
    </cfRule>
  </conditionalFormatting>
  <conditionalFormatting sqref="N29">
    <cfRule type="cellIs" dxfId="1332" priority="174" operator="notEqual">
      <formula>ROUND(E29/F29*100,1)</formula>
    </cfRule>
  </conditionalFormatting>
  <conditionalFormatting sqref="O29">
    <cfRule type="cellIs" dxfId="1331" priority="175" operator="notEqual">
      <formula>ROUND(G29/H29*100,1)</formula>
    </cfRule>
  </conditionalFormatting>
  <conditionalFormatting sqref="P29">
    <cfRule type="cellIs" dxfId="1330" priority="176" operator="notEqual">
      <formula>ROUND(E29/E27*100,1)</formula>
    </cfRule>
  </conditionalFormatting>
  <conditionalFormatting sqref="Q29">
    <cfRule type="cellIs" dxfId="1329" priority="177" operator="notEqual">
      <formula>ROUND(F29/F27*100,1)</formula>
    </cfRule>
  </conditionalFormatting>
  <conditionalFormatting sqref="R29">
    <cfRule type="cellIs" dxfId="1328" priority="178" operator="notEqual">
      <formula>ROUND(K29/K30*100,1)</formula>
    </cfRule>
  </conditionalFormatting>
  <conditionalFormatting sqref="S29">
    <cfRule type="cellIs" dxfId="1327" priority="179" operator="notEqual">
      <formula>ROUND(L29/L30*100,1)</formula>
    </cfRule>
  </conditionalFormatting>
  <conditionalFormatting sqref="I30">
    <cfRule type="cellIs" dxfId="1326" priority="180" operator="notEqual">
      <formula>ROUND(G30/G9*100,1)</formula>
    </cfRule>
  </conditionalFormatting>
  <conditionalFormatting sqref="J30">
    <cfRule type="cellIs" dxfId="1325" priority="181" operator="notEqual">
      <formula>ROUND(H30/H9*100,1)</formula>
    </cfRule>
  </conditionalFormatting>
  <conditionalFormatting sqref="K30">
    <cfRule type="cellIs" dxfId="1324" priority="182" operator="notEqual">
      <formula>ROUND(G30/E30*1000,1)</formula>
    </cfRule>
  </conditionalFormatting>
  <conditionalFormatting sqref="L30">
    <cfRule type="cellIs" dxfId="1323" priority="183" operator="notEqual">
      <formula>ROUND(H30/F30*1000,1)</formula>
    </cfRule>
  </conditionalFormatting>
  <conditionalFormatting sqref="M30">
    <cfRule type="cellIs" dxfId="1322" priority="184" operator="notEqual">
      <formula>ROUND(K30/L30*100,1)</formula>
    </cfRule>
  </conditionalFormatting>
  <conditionalFormatting sqref="N30">
    <cfRule type="cellIs" dxfId="1321" priority="185" operator="notEqual">
      <formula>ROUND(E30/F30*100,1)</formula>
    </cfRule>
  </conditionalFormatting>
  <conditionalFormatting sqref="O30">
    <cfRule type="cellIs" dxfId="1320" priority="186" operator="notEqual">
      <formula>ROUND(G30/H30*100,1)</formula>
    </cfRule>
  </conditionalFormatting>
  <conditionalFormatting sqref="P30">
    <cfRule type="cellIs" dxfId="1319" priority="187" operator="notEqual">
      <formula>ROUND(E30/E27*100,1)</formula>
    </cfRule>
  </conditionalFormatting>
  <conditionalFormatting sqref="Q30">
    <cfRule type="cellIs" dxfId="1318" priority="188" operator="notEqual">
      <formula>ROUND(F30/F27*100,1)</formula>
    </cfRule>
  </conditionalFormatting>
  <conditionalFormatting sqref="R30">
    <cfRule type="cellIs" dxfId="1317" priority="189" operator="notEqual">
      <formula>ROUND(K30/K29*100,1)</formula>
    </cfRule>
  </conditionalFormatting>
  <conditionalFormatting sqref="S30">
    <cfRule type="cellIs" dxfId="1316" priority="190" operator="notEqual">
      <formula>ROUND(L30/L29*100,1)</formula>
    </cfRule>
  </conditionalFormatting>
  <conditionalFormatting sqref="E31">
    <cfRule type="cellIs" dxfId="1315" priority="191" operator="notEqual">
      <formula>ROUND(SUM(E33:E34),1)</formula>
    </cfRule>
  </conditionalFormatting>
  <conditionalFormatting sqref="F31">
    <cfRule type="cellIs" dxfId="1314" priority="192" operator="notEqual">
      <formula>ROUND(SUM(F33:F34),1)</formula>
    </cfRule>
  </conditionalFormatting>
  <conditionalFormatting sqref="G31">
    <cfRule type="cellIs" dxfId="1313" priority="193" operator="notEqual">
      <formula>ROUND(SUM(G33:G34),1)</formula>
    </cfRule>
  </conditionalFormatting>
  <conditionalFormatting sqref="H31">
    <cfRule type="cellIs" dxfId="1312" priority="194" operator="notEqual">
      <formula>ROUND(SUM(H33:H34),1)</formula>
    </cfRule>
  </conditionalFormatting>
  <conditionalFormatting sqref="I31">
    <cfRule type="cellIs" dxfId="1311" priority="195" operator="notEqual">
      <formula>ROUND(G31/G6*100,1)</formula>
    </cfRule>
  </conditionalFormatting>
  <conditionalFormatting sqref="J31">
    <cfRule type="cellIs" dxfId="1310" priority="196" operator="notEqual">
      <formula>ROUND(H31/H6*100,1)</formula>
    </cfRule>
  </conditionalFormatting>
  <conditionalFormatting sqref="K31">
    <cfRule type="cellIs" dxfId="1309" priority="197" operator="notEqual">
      <formula>ROUND(G31/E31*1000,1)</formula>
    </cfRule>
  </conditionalFormatting>
  <conditionalFormatting sqref="L31">
    <cfRule type="cellIs" dxfId="1308" priority="198" operator="notEqual">
      <formula>ROUND(H31/F31*1000,1)</formula>
    </cfRule>
  </conditionalFormatting>
  <conditionalFormatting sqref="M31">
    <cfRule type="cellIs" dxfId="1307" priority="199" operator="notEqual">
      <formula>ROUND(K31/L31*100,1)</formula>
    </cfRule>
  </conditionalFormatting>
  <conditionalFormatting sqref="N31">
    <cfRule type="cellIs" dxfId="1306" priority="200" operator="notEqual">
      <formula>ROUND(E31/F31*100,1)</formula>
    </cfRule>
  </conditionalFormatting>
  <conditionalFormatting sqref="O31">
    <cfRule type="cellIs" dxfId="1305" priority="201" operator="notEqual">
      <formula>ROUND(G31/H31*100,1)</formula>
    </cfRule>
  </conditionalFormatting>
  <conditionalFormatting sqref="P31">
    <cfRule type="cellIs" dxfId="1304" priority="202" operator="notEqual">
      <formula>ROUND(SUM(P33:P34),1)</formula>
    </cfRule>
  </conditionalFormatting>
  <conditionalFormatting sqref="Q31">
    <cfRule type="cellIs" dxfId="1303" priority="203" operator="notEqual">
      <formula>ROUND(SUM(Q33:Q34),1)</formula>
    </cfRule>
  </conditionalFormatting>
  <conditionalFormatting sqref="I33">
    <cfRule type="cellIs" dxfId="1302" priority="204" operator="notEqual">
      <formula>ROUND(G33/G8*100,1)</formula>
    </cfRule>
  </conditionalFormatting>
  <conditionalFormatting sqref="J33">
    <cfRule type="cellIs" dxfId="1301" priority="205" operator="notEqual">
      <formula>ROUND(H33/H8*100,1)</formula>
    </cfRule>
  </conditionalFormatting>
  <conditionalFormatting sqref="K33">
    <cfRule type="cellIs" dxfId="1300" priority="206" operator="notEqual">
      <formula>ROUND(G33/E33*1000,1)</formula>
    </cfRule>
  </conditionalFormatting>
  <conditionalFormatting sqref="L33">
    <cfRule type="cellIs" dxfId="1299" priority="207" operator="notEqual">
      <formula>ROUND(H33/F33*1000,1)</formula>
    </cfRule>
  </conditionalFormatting>
  <conditionalFormatting sqref="M33">
    <cfRule type="cellIs" dxfId="1298" priority="208" operator="notEqual">
      <formula>ROUND(K33/L33*100,1)</formula>
    </cfRule>
  </conditionalFormatting>
  <conditionalFormatting sqref="N33">
    <cfRule type="cellIs" dxfId="1297" priority="209" operator="notEqual">
      <formula>ROUND(E33/F33*100,1)</formula>
    </cfRule>
  </conditionalFormatting>
  <conditionalFormatting sqref="O33">
    <cfRule type="cellIs" dxfId="1296" priority="210" operator="notEqual">
      <formula>ROUND(G33/H33*100,1)</formula>
    </cfRule>
  </conditionalFormatting>
  <conditionalFormatting sqref="P33">
    <cfRule type="cellIs" dxfId="1295" priority="211" operator="notEqual">
      <formula>ROUND(E33/E31*100,1)</formula>
    </cfRule>
  </conditionalFormatting>
  <conditionalFormatting sqref="Q33">
    <cfRule type="cellIs" dxfId="1294" priority="212" operator="notEqual">
      <formula>ROUND(F33/F31*100,1)</formula>
    </cfRule>
  </conditionalFormatting>
  <conditionalFormatting sqref="R33">
    <cfRule type="cellIs" dxfId="1293" priority="213" operator="notEqual">
      <formula>ROUND(K33/K34*100,1)</formula>
    </cfRule>
  </conditionalFormatting>
  <conditionalFormatting sqref="S33">
    <cfRule type="cellIs" dxfId="1292" priority="214" operator="notEqual">
      <formula>ROUND(L33/L34*100,1)</formula>
    </cfRule>
  </conditionalFormatting>
  <conditionalFormatting sqref="I34">
    <cfRule type="cellIs" dxfId="1291" priority="215" operator="notEqual">
      <formula>ROUND(G34/G9*100,1)</formula>
    </cfRule>
  </conditionalFormatting>
  <conditionalFormatting sqref="J34">
    <cfRule type="cellIs" dxfId="1290" priority="216" operator="notEqual">
      <formula>ROUND(H34/H9*100,1)</formula>
    </cfRule>
  </conditionalFormatting>
  <conditionalFormatting sqref="K34">
    <cfRule type="cellIs" dxfId="1289" priority="217" operator="notEqual">
      <formula>ROUND(G34/E34*1000,1)</formula>
    </cfRule>
  </conditionalFormatting>
  <conditionalFormatting sqref="L34">
    <cfRule type="cellIs" dxfId="1288" priority="218" operator="notEqual">
      <formula>ROUND(H34/F34*1000,1)</formula>
    </cfRule>
  </conditionalFormatting>
  <conditionalFormatting sqref="M34">
    <cfRule type="cellIs" dxfId="1287" priority="219" operator="notEqual">
      <formula>ROUND(K34/L34*100,1)</formula>
    </cfRule>
  </conditionalFormatting>
  <conditionalFormatting sqref="N34">
    <cfRule type="cellIs" dxfId="1286" priority="220" operator="notEqual">
      <formula>ROUND(E34/F34*100,1)</formula>
    </cfRule>
  </conditionalFormatting>
  <conditionalFormatting sqref="O34">
    <cfRule type="cellIs" dxfId="1285" priority="221" operator="notEqual">
      <formula>ROUND(G34/H34*100,1)</formula>
    </cfRule>
  </conditionalFormatting>
  <conditionalFormatting sqref="P34">
    <cfRule type="cellIs" dxfId="1284" priority="222" operator="notEqual">
      <formula>ROUND(E34/E31*100,1)</formula>
    </cfRule>
  </conditionalFormatting>
  <conditionalFormatting sqref="Q34">
    <cfRule type="cellIs" dxfId="1283" priority="223" operator="notEqual">
      <formula>ROUND(F34/F31*100,1)</formula>
    </cfRule>
  </conditionalFormatting>
  <conditionalFormatting sqref="R34">
    <cfRule type="cellIs" dxfId="1282" priority="224" operator="notEqual">
      <formula>ROUND(K34/K33*100,1)</formula>
    </cfRule>
  </conditionalFormatting>
  <conditionalFormatting sqref="S34">
    <cfRule type="cellIs" dxfId="1281" priority="225" operator="notEqual">
      <formula>ROUND(L34/L33*100,1)</formula>
    </cfRule>
  </conditionalFormatting>
  <conditionalFormatting sqref="I37">
    <cfRule type="cellIs" dxfId="1280" priority="226" operator="notEqual">
      <formula>ROUND(G33/G8*100,1)</formula>
    </cfRule>
  </conditionalFormatting>
  <conditionalFormatting sqref="J37">
    <cfRule type="cellIs" dxfId="1279" priority="227" operator="notEqual">
      <formula>ROUND(H33/H8*100,1)</formula>
    </cfRule>
  </conditionalFormatting>
  <conditionalFormatting sqref="K37">
    <cfRule type="cellIs" dxfId="1278" priority="228" operator="notEqual">
      <formula>ROUND(G37/E37,1)</formula>
    </cfRule>
  </conditionalFormatting>
  <conditionalFormatting sqref="L37">
    <cfRule type="cellIs" dxfId="1277" priority="229" operator="notEqual">
      <formula>ROUND(H37/F37,1)</formula>
    </cfRule>
  </conditionalFormatting>
  <conditionalFormatting sqref="M37">
    <cfRule type="cellIs" dxfId="1276" priority="230" operator="notEqual">
      <formula>ROUND(K37/L37*100,1)</formula>
    </cfRule>
  </conditionalFormatting>
  <conditionalFormatting sqref="N37">
    <cfRule type="cellIs" dxfId="1275" priority="231" operator="notEqual">
      <formula>ROUND(E37/F37*100,1)</formula>
    </cfRule>
  </conditionalFormatting>
  <conditionalFormatting sqref="O37">
    <cfRule type="cellIs" dxfId="1274" priority="232" operator="notEqual">
      <formula>ROUND(G37/H37*100,1)</formula>
    </cfRule>
  </conditionalFormatting>
  <conditionalFormatting sqref="P37">
    <cfRule type="cellIs" dxfId="1273" priority="233" operator="notEqual">
      <formula>ROUND(E33/E31*100,1)</formula>
    </cfRule>
  </conditionalFormatting>
  <conditionalFormatting sqref="Q37">
    <cfRule type="cellIs" dxfId="1272" priority="234" operator="notEqual">
      <formula>ROUND(F33/F31*100,1)</formula>
    </cfRule>
  </conditionalFormatting>
  <conditionalFormatting sqref="R37">
    <cfRule type="cellIs" dxfId="1271" priority="235" operator="notEqual">
      <formula>ROUND(K33/K34*100,1)</formula>
    </cfRule>
  </conditionalFormatting>
  <conditionalFormatting sqref="S37">
    <cfRule type="cellIs" dxfId="1270" priority="236" operator="notEqual">
      <formula>ROUND(L33/L34*100,1)</formula>
    </cfRule>
  </conditionalFormatting>
  <conditionalFormatting sqref="I38">
    <cfRule type="cellIs" dxfId="1269" priority="237" operator="notEqual">
      <formula>ROUND(G34/G9*100,1)</formula>
    </cfRule>
  </conditionalFormatting>
  <conditionalFormatting sqref="J38">
    <cfRule type="cellIs" dxfId="1268" priority="238" operator="notEqual">
      <formula>ROUND(H34/H9*100,1)</formula>
    </cfRule>
  </conditionalFormatting>
  <conditionalFormatting sqref="K38">
    <cfRule type="cellIs" dxfId="1267" priority="239" operator="notEqual">
      <formula>ROUND(G38/E38,1)</formula>
    </cfRule>
  </conditionalFormatting>
  <conditionalFormatting sqref="L38">
    <cfRule type="cellIs" dxfId="1266" priority="240" operator="notEqual">
      <formula>ROUND(H38/F38,1)</formula>
    </cfRule>
  </conditionalFormatting>
  <conditionalFormatting sqref="M38">
    <cfRule type="cellIs" dxfId="1265" priority="241" operator="notEqual">
      <formula>ROUND(K38/L38*100,1)</formula>
    </cfRule>
  </conditionalFormatting>
  <conditionalFormatting sqref="N38">
    <cfRule type="cellIs" dxfId="1264" priority="242" operator="notEqual">
      <formula>ROUND(E38/F38*100,1)</formula>
    </cfRule>
  </conditionalFormatting>
  <conditionalFormatting sqref="O38">
    <cfRule type="cellIs" dxfId="1263" priority="243" operator="notEqual">
      <formula>ROUND(G38/H38*100,1)</formula>
    </cfRule>
  </conditionalFormatting>
  <conditionalFormatting sqref="P38">
    <cfRule type="cellIs" dxfId="1262" priority="244" operator="notEqual">
      <formula>ROUND(E34/E31*100,1)</formula>
    </cfRule>
  </conditionalFormatting>
  <conditionalFormatting sqref="Q38">
    <cfRule type="cellIs" dxfId="1261" priority="245" operator="notEqual">
      <formula>ROUND(F34/F31*100,1)</formula>
    </cfRule>
  </conditionalFormatting>
  <conditionalFormatting sqref="R38">
    <cfRule type="cellIs" dxfId="1260" priority="246" operator="notEqual">
      <formula>ROUND(K34/K33*100,1)</formula>
    </cfRule>
  </conditionalFormatting>
  <conditionalFormatting sqref="S38">
    <cfRule type="cellIs" dxfId="1259" priority="247" operator="notEqual">
      <formula>ROUND(L34/L33*100,1)</formula>
    </cfRule>
  </conditionalFormatting>
  <conditionalFormatting sqref="E39">
    <cfRule type="cellIs" dxfId="1258" priority="248" operator="notEqual">
      <formula>ROUND(SUM(E37:E38),1)</formula>
    </cfRule>
  </conditionalFormatting>
  <conditionalFormatting sqref="F39">
    <cfRule type="cellIs" dxfId="1257" priority="249" operator="notEqual">
      <formula>ROUND(SUM(F37:F38),1)</formula>
    </cfRule>
  </conditionalFormatting>
  <conditionalFormatting sqref="G39">
    <cfRule type="cellIs" dxfId="1256" priority="250" operator="notEqual">
      <formula>ROUND(SUM(G37:G38),1)</formula>
    </cfRule>
  </conditionalFormatting>
  <conditionalFormatting sqref="H39">
    <cfRule type="cellIs" dxfId="1255" priority="251" operator="notEqual">
      <formula>ROUND(SUM(H37:H38),1)</formula>
    </cfRule>
  </conditionalFormatting>
  <conditionalFormatting sqref="I39">
    <cfRule type="cellIs" dxfId="1254" priority="252" operator="notEqual">
      <formula>ROUND(G35/G6*100,1)</formula>
    </cfRule>
  </conditionalFormatting>
  <conditionalFormatting sqref="J39">
    <cfRule type="cellIs" dxfId="1253" priority="253" operator="notEqual">
      <formula>ROUND(H35/H6*100,1)</formula>
    </cfRule>
  </conditionalFormatting>
  <conditionalFormatting sqref="K39">
    <cfRule type="cellIs" dxfId="1252" priority="254" operator="notEqual">
      <formula>ROUND(G39/E39*1000,1)</formula>
    </cfRule>
  </conditionalFormatting>
  <conditionalFormatting sqref="L39">
    <cfRule type="cellIs" dxfId="1251" priority="255" operator="notEqual">
      <formula>ROUND(H39/F39*1000,1)</formula>
    </cfRule>
  </conditionalFormatting>
  <conditionalFormatting sqref="M39">
    <cfRule type="cellIs" dxfId="1250" priority="256" operator="notEqual">
      <formula>ROUND(K39/L39*100,1)</formula>
    </cfRule>
  </conditionalFormatting>
  <conditionalFormatting sqref="N39">
    <cfRule type="cellIs" dxfId="1249" priority="257" operator="notEqual">
      <formula>ROUND(E39/F39*100,1)</formula>
    </cfRule>
  </conditionalFormatting>
  <conditionalFormatting sqref="O39">
    <cfRule type="cellIs" dxfId="1248" priority="258" operator="notEqual">
      <formula>ROUND(G39/H39*100,1)</formula>
    </cfRule>
  </conditionalFormatting>
  <conditionalFormatting sqref="P39">
    <cfRule type="cellIs" dxfId="1247" priority="259" operator="notEqual">
      <formula>ROUND(SUM(P37:P38),1)</formula>
    </cfRule>
  </conditionalFormatting>
  <conditionalFormatting sqref="Q39">
    <cfRule type="cellIs" dxfId="1246" priority="260" operator="notEqual">
      <formula>ROUND(SUM(Q37:Q38),1)</formula>
    </cfRule>
  </conditionalFormatting>
  <conditionalFormatting sqref="I41">
    <cfRule type="cellIs" dxfId="1245" priority="261" operator="notEqual">
      <formula>ROUND(G37/G8*100,1)</formula>
    </cfRule>
  </conditionalFormatting>
  <conditionalFormatting sqref="J41">
    <cfRule type="cellIs" dxfId="1244" priority="262" operator="notEqual">
      <formula>ROUND(H37/H8*100,1)</formula>
    </cfRule>
  </conditionalFormatting>
  <conditionalFormatting sqref="K41">
    <cfRule type="cellIs" dxfId="1243" priority="263" operator="notEqual">
      <formula>ROUND(G41/E41*1000,1)</formula>
    </cfRule>
  </conditionalFormatting>
  <conditionalFormatting sqref="L41">
    <cfRule type="cellIs" dxfId="1242" priority="264" operator="notEqual">
      <formula>ROUND(H41/F41*1000,1)</formula>
    </cfRule>
  </conditionalFormatting>
  <conditionalFormatting sqref="M41">
    <cfRule type="cellIs" dxfId="1241" priority="265" operator="notEqual">
      <formula>ROUND(K41/L41*100,1)</formula>
    </cfRule>
  </conditionalFormatting>
  <conditionalFormatting sqref="N41">
    <cfRule type="cellIs" dxfId="1240" priority="266" operator="notEqual">
      <formula>ROUND(E41/F41*100,1)</formula>
    </cfRule>
  </conditionalFormatting>
  <conditionalFormatting sqref="O41">
    <cfRule type="cellIs" dxfId="1239" priority="267" operator="notEqual">
      <formula>ROUND(G41/H41*100,1)</formula>
    </cfRule>
  </conditionalFormatting>
  <conditionalFormatting sqref="P41">
    <cfRule type="cellIs" dxfId="1238" priority="268" operator="notEqual">
      <formula>ROUND(E37/E35*100,1)</formula>
    </cfRule>
  </conditionalFormatting>
  <conditionalFormatting sqref="Q41">
    <cfRule type="cellIs" dxfId="1237" priority="269" operator="notEqual">
      <formula>ROUND(F37/F35*100,1)</formula>
    </cfRule>
  </conditionalFormatting>
  <conditionalFormatting sqref="R41">
    <cfRule type="cellIs" dxfId="1236" priority="270" operator="notEqual">
      <formula>ROUND(K37/K38*100,1)</formula>
    </cfRule>
  </conditionalFormatting>
  <conditionalFormatting sqref="S41">
    <cfRule type="cellIs" dxfId="1235" priority="271" operator="notEqual">
      <formula>ROUND(L37/L38*100,1)</formula>
    </cfRule>
  </conditionalFormatting>
  <conditionalFormatting sqref="I42">
    <cfRule type="cellIs" dxfId="1234" priority="272" operator="notEqual">
      <formula>ROUND(G38/G9*100,1)</formula>
    </cfRule>
  </conditionalFormatting>
  <conditionalFormatting sqref="J42">
    <cfRule type="cellIs" dxfId="1233" priority="273" operator="notEqual">
      <formula>ROUND(H38/H9*100,1)</formula>
    </cfRule>
  </conditionalFormatting>
  <conditionalFormatting sqref="K42">
    <cfRule type="cellIs" dxfId="1232" priority="274" operator="notEqual">
      <formula>ROUND(G42/E42*1000,1)</formula>
    </cfRule>
  </conditionalFormatting>
  <conditionalFormatting sqref="L42">
    <cfRule type="cellIs" dxfId="1231" priority="275" operator="notEqual">
      <formula>ROUND(H42/F42*1000,1)</formula>
    </cfRule>
  </conditionalFormatting>
  <conditionalFormatting sqref="M42">
    <cfRule type="cellIs" dxfId="1230" priority="276" operator="notEqual">
      <formula>ROUND(K42/L42*100,1)</formula>
    </cfRule>
  </conditionalFormatting>
  <conditionalFormatting sqref="N42">
    <cfRule type="cellIs" dxfId="1229" priority="277" operator="notEqual">
      <formula>ROUND(E42/F42*100,1)</formula>
    </cfRule>
  </conditionalFormatting>
  <conditionalFormatting sqref="O42">
    <cfRule type="cellIs" dxfId="1228" priority="278" operator="notEqual">
      <formula>ROUND(G42/H42*100,1)</formula>
    </cfRule>
  </conditionalFormatting>
  <conditionalFormatting sqref="P42">
    <cfRule type="cellIs" dxfId="1227" priority="279" operator="notEqual">
      <formula>ROUND(E38/E35*100,1)</formula>
    </cfRule>
  </conditionalFormatting>
  <conditionalFormatting sqref="Q42">
    <cfRule type="cellIs" dxfId="1226" priority="280" operator="notEqual">
      <formula>ROUND(F38/F35*100,1)</formula>
    </cfRule>
  </conditionalFormatting>
  <conditionalFormatting sqref="R42">
    <cfRule type="cellIs" dxfId="1225" priority="281" operator="notEqual">
      <formula>ROUND(K38/K37*100,1)</formula>
    </cfRule>
  </conditionalFormatting>
  <conditionalFormatting sqref="S42">
    <cfRule type="cellIs" dxfId="1224" priority="282" operator="notEqual">
      <formula>ROUND(L38/L37*100,1)</formula>
    </cfRule>
  </conditionalFormatting>
  <conditionalFormatting sqref="E43">
    <cfRule type="cellIs" dxfId="1223" priority="283" operator="notEqual">
      <formula>ROUND(SUM(E41:E42),1)</formula>
    </cfRule>
  </conditionalFormatting>
  <conditionalFormatting sqref="F43">
    <cfRule type="cellIs" dxfId="1222" priority="284" operator="notEqual">
      <formula>ROUND(SUM(F41:F42),1)</formula>
    </cfRule>
  </conditionalFormatting>
  <conditionalFormatting sqref="G43">
    <cfRule type="cellIs" dxfId="1221" priority="285" operator="notEqual">
      <formula>ROUND(SUM(G41:G42),1)</formula>
    </cfRule>
  </conditionalFormatting>
  <conditionalFormatting sqref="H43">
    <cfRule type="cellIs" dxfId="1220" priority="286" operator="notEqual">
      <formula>ROUND(SUM(H41:H42),1)</formula>
    </cfRule>
  </conditionalFormatting>
  <conditionalFormatting sqref="I43">
    <cfRule type="cellIs" dxfId="1219" priority="287" operator="notEqual">
      <formula>ROUND(G39/G6*100,1)</formula>
    </cfRule>
  </conditionalFormatting>
  <conditionalFormatting sqref="J43">
    <cfRule type="cellIs" dxfId="1218" priority="288" operator="notEqual">
      <formula>ROUND(H39/H6*100,1)</formula>
    </cfRule>
  </conditionalFormatting>
  <conditionalFormatting sqref="K43">
    <cfRule type="cellIs" dxfId="1217" priority="289" operator="notEqual">
      <formula>ROUND(G43/E43*1000,1)</formula>
    </cfRule>
  </conditionalFormatting>
  <conditionalFormatting sqref="L43">
    <cfRule type="cellIs" dxfId="1216" priority="290" operator="notEqual">
      <formula>ROUND(H43/F43*1000,1)</formula>
    </cfRule>
  </conditionalFormatting>
  <conditionalFormatting sqref="M43">
    <cfRule type="cellIs" dxfId="1215" priority="291" operator="notEqual">
      <formula>ROUND(K43/L43*100,1)</formula>
    </cfRule>
  </conditionalFormatting>
  <conditionalFormatting sqref="N43">
    <cfRule type="cellIs" dxfId="1214" priority="292" operator="notEqual">
      <formula>ROUND(E43/F43*100,1)</formula>
    </cfRule>
  </conditionalFormatting>
  <conditionalFormatting sqref="O43">
    <cfRule type="cellIs" dxfId="1213" priority="293" operator="notEqual">
      <formula>ROUND(G43/H43*100,1)</formula>
    </cfRule>
  </conditionalFormatting>
  <conditionalFormatting sqref="P43">
    <cfRule type="cellIs" dxfId="1212" priority="294" operator="notEqual">
      <formula>ROUND(SUM(P41:P42),1)</formula>
    </cfRule>
  </conditionalFormatting>
  <conditionalFormatting sqref="Q43">
    <cfRule type="cellIs" dxfId="1211" priority="295" operator="notEqual">
      <formula>ROUND(SUM(Q41:Q42),1)</formula>
    </cfRule>
  </conditionalFormatting>
  <conditionalFormatting sqref="I45">
    <cfRule type="cellIs" dxfId="1210" priority="296" operator="notEqual">
      <formula>ROUND(G41/G8*100,1)</formula>
    </cfRule>
  </conditionalFormatting>
  <conditionalFormatting sqref="J45">
    <cfRule type="cellIs" dxfId="1209" priority="297" operator="notEqual">
      <formula>ROUND(H41/H8*100,1)</formula>
    </cfRule>
  </conditionalFormatting>
  <conditionalFormatting sqref="K45">
    <cfRule type="cellIs" dxfId="1208" priority="298" operator="notEqual">
      <formula>ROUND(G45/E45*1000,1)</formula>
    </cfRule>
  </conditionalFormatting>
  <conditionalFormatting sqref="L45">
    <cfRule type="cellIs" dxfId="1207" priority="299" operator="notEqual">
      <formula>ROUND(H45/F45*1000,1)</formula>
    </cfRule>
  </conditionalFormatting>
  <conditionalFormatting sqref="M45">
    <cfRule type="cellIs" dxfId="1206" priority="300" operator="notEqual">
      <formula>ROUND(K45/L45*100,1)</formula>
    </cfRule>
  </conditionalFormatting>
  <conditionalFormatting sqref="N45">
    <cfRule type="cellIs" dxfId="1205" priority="301" operator="notEqual">
      <formula>ROUND(E45/F45*100,1)</formula>
    </cfRule>
  </conditionalFormatting>
  <conditionalFormatting sqref="O45">
    <cfRule type="cellIs" dxfId="1204" priority="302" operator="notEqual">
      <formula>ROUND(G45/H45*100,1)</formula>
    </cfRule>
  </conditionalFormatting>
  <conditionalFormatting sqref="P45">
    <cfRule type="cellIs" dxfId="1203" priority="303" operator="notEqual">
      <formula>ROUND(E41/E39*100,1)</formula>
    </cfRule>
  </conditionalFormatting>
  <conditionalFormatting sqref="Q45">
    <cfRule type="cellIs" dxfId="1202" priority="304" operator="notEqual">
      <formula>ROUND(F41/F39*100,1)</formula>
    </cfRule>
  </conditionalFormatting>
  <conditionalFormatting sqref="R45">
    <cfRule type="cellIs" dxfId="1201" priority="305" operator="notEqual">
      <formula>ROUND(K41/K42*100,1)</formula>
    </cfRule>
  </conditionalFormatting>
  <conditionalFormatting sqref="S45">
    <cfRule type="cellIs" dxfId="1200" priority="306" operator="notEqual">
      <formula>ROUND(L41/L42*100,1)</formula>
    </cfRule>
  </conditionalFormatting>
  <conditionalFormatting sqref="I46">
    <cfRule type="cellIs" dxfId="1199" priority="307" operator="notEqual">
      <formula>ROUND(G42/G9*100,1)</formula>
    </cfRule>
  </conditionalFormatting>
  <conditionalFormatting sqref="J46">
    <cfRule type="cellIs" dxfId="1198" priority="308" operator="notEqual">
      <formula>ROUND(H42/H9*100,1)</formula>
    </cfRule>
  </conditionalFormatting>
  <conditionalFormatting sqref="K46">
    <cfRule type="cellIs" dxfId="1197" priority="309" operator="notEqual">
      <formula>ROUND(G46/E46*1000,1)</formula>
    </cfRule>
  </conditionalFormatting>
  <conditionalFormatting sqref="L46">
    <cfRule type="cellIs" dxfId="1196" priority="310" operator="notEqual">
      <formula>ROUND(H46/F46*1000,1)</formula>
    </cfRule>
  </conditionalFormatting>
  <conditionalFormatting sqref="M46">
    <cfRule type="cellIs" dxfId="1195" priority="311" operator="notEqual">
      <formula>ROUND(K46/L46*100,1)</formula>
    </cfRule>
  </conditionalFormatting>
  <conditionalFormatting sqref="N46">
    <cfRule type="cellIs" dxfId="1194" priority="312" operator="notEqual">
      <formula>ROUND(E46/F46*100,1)</formula>
    </cfRule>
  </conditionalFormatting>
  <conditionalFormatting sqref="O46">
    <cfRule type="cellIs" dxfId="1193" priority="313" operator="notEqual">
      <formula>ROUND(G46/H46*100,1)</formula>
    </cfRule>
  </conditionalFormatting>
  <conditionalFormatting sqref="P46">
    <cfRule type="cellIs" dxfId="1192" priority="314" operator="notEqual">
      <formula>ROUND(E42/E39*100,1)</formula>
    </cfRule>
  </conditionalFormatting>
  <conditionalFormatting sqref="Q46">
    <cfRule type="cellIs" dxfId="1191" priority="315" operator="notEqual">
      <formula>ROUND(F42/F39*100,1)</formula>
    </cfRule>
  </conditionalFormatting>
  <conditionalFormatting sqref="R46">
    <cfRule type="cellIs" dxfId="1190" priority="316" operator="notEqual">
      <formula>ROUND(K42/K41*100,1)</formula>
    </cfRule>
  </conditionalFormatting>
  <conditionalFormatting sqref="S46">
    <cfRule type="cellIs" dxfId="1189" priority="317" operator="notEqual">
      <formula>ROUND(L42/L41*100,1)</formula>
    </cfRule>
  </conditionalFormatting>
  <conditionalFormatting sqref="E47">
    <cfRule type="cellIs" dxfId="1188" priority="318" operator="notEqual">
      <formula>ROUND(SUM(E45:E46),1)</formula>
    </cfRule>
  </conditionalFormatting>
  <conditionalFormatting sqref="F47">
    <cfRule type="cellIs" dxfId="1187" priority="319" operator="notEqual">
      <formula>ROUND(SUM(F45:F46),1)</formula>
    </cfRule>
  </conditionalFormatting>
  <conditionalFormatting sqref="G47">
    <cfRule type="cellIs" dxfId="1186" priority="320" operator="notEqual">
      <formula>ROUND(SUM(G45:G46),1)</formula>
    </cfRule>
  </conditionalFormatting>
  <conditionalFormatting sqref="H47">
    <cfRule type="cellIs" dxfId="1185" priority="321" operator="notEqual">
      <formula>ROUND(SUM(H45:H46),1)</formula>
    </cfRule>
  </conditionalFormatting>
  <conditionalFormatting sqref="I47">
    <cfRule type="cellIs" dxfId="1184" priority="322" operator="notEqual">
      <formula>ROUND(G43/G6*100,1)</formula>
    </cfRule>
  </conditionalFormatting>
  <conditionalFormatting sqref="J47">
    <cfRule type="cellIs" dxfId="1183" priority="323" operator="notEqual">
      <formula>ROUND(H43/H6*100,1)</formula>
    </cfRule>
  </conditionalFormatting>
  <conditionalFormatting sqref="K47">
    <cfRule type="cellIs" dxfId="1182" priority="324" operator="notEqual">
      <formula>ROUND(G47/E47,1)</formula>
    </cfRule>
  </conditionalFormatting>
  <conditionalFormatting sqref="L47">
    <cfRule type="cellIs" dxfId="1181" priority="325" operator="notEqual">
      <formula>ROUND(H47/F47,1)</formula>
    </cfRule>
  </conditionalFormatting>
  <conditionalFormatting sqref="M47">
    <cfRule type="cellIs" dxfId="1180" priority="326" operator="notEqual">
      <formula>ROUND(K47/L47*100,1)</formula>
    </cfRule>
  </conditionalFormatting>
  <conditionalFormatting sqref="N47">
    <cfRule type="cellIs" dxfId="1179" priority="327" operator="notEqual">
      <formula>ROUND(E47/F47*100,1)</formula>
    </cfRule>
  </conditionalFormatting>
  <conditionalFormatting sqref="O47">
    <cfRule type="cellIs" dxfId="1178" priority="328" operator="notEqual">
      <formula>ROUND(G47/H47*100,1)</formula>
    </cfRule>
  </conditionalFormatting>
  <conditionalFormatting sqref="P47">
    <cfRule type="cellIs" dxfId="1177" priority="329" operator="notEqual">
      <formula>ROUND(SUM(P45:P46),1)</formula>
    </cfRule>
  </conditionalFormatting>
  <conditionalFormatting sqref="Q47">
    <cfRule type="cellIs" dxfId="1176" priority="330" operator="notEqual">
      <formula>ROUND(SUM(Q45:Q46),1)</formula>
    </cfRule>
  </conditionalFormatting>
  <conditionalFormatting sqref="I49">
    <cfRule type="cellIs" dxfId="1175" priority="331" operator="notEqual">
      <formula>ROUND(G45/G8*100,1)</formula>
    </cfRule>
  </conditionalFormatting>
  <conditionalFormatting sqref="J49">
    <cfRule type="cellIs" dxfId="1174" priority="332" operator="notEqual">
      <formula>ROUND(H45/H8*100,1)</formula>
    </cfRule>
  </conditionalFormatting>
  <conditionalFormatting sqref="K49">
    <cfRule type="cellIs" dxfId="1173" priority="333" operator="notEqual">
      <formula>ROUND(G49/E49,1)</formula>
    </cfRule>
  </conditionalFormatting>
  <conditionalFormatting sqref="L49">
    <cfRule type="cellIs" dxfId="1172" priority="334" operator="notEqual">
      <formula>ROUND(H49/F49,1)</formula>
    </cfRule>
  </conditionalFormatting>
  <conditionalFormatting sqref="M49">
    <cfRule type="cellIs" dxfId="1171" priority="335" operator="notEqual">
      <formula>ROUND(K49/L49*100,1)</formula>
    </cfRule>
  </conditionalFormatting>
  <conditionalFormatting sqref="N49">
    <cfRule type="cellIs" dxfId="1170" priority="336" operator="notEqual">
      <formula>ROUND(E49/F49*100,1)</formula>
    </cfRule>
  </conditionalFormatting>
  <conditionalFormatting sqref="O49">
    <cfRule type="cellIs" dxfId="1169" priority="337" operator="notEqual">
      <formula>ROUND(G49/H49*100,1)</formula>
    </cfRule>
  </conditionalFormatting>
  <conditionalFormatting sqref="P49">
    <cfRule type="cellIs" dxfId="1168" priority="338" operator="notEqual">
      <formula>ROUND(E45/E43*100,1)</formula>
    </cfRule>
  </conditionalFormatting>
  <conditionalFormatting sqref="Q49">
    <cfRule type="cellIs" dxfId="1167" priority="339" operator="notEqual">
      <formula>ROUND(F45/F43*100,1)</formula>
    </cfRule>
  </conditionalFormatting>
  <conditionalFormatting sqref="R49">
    <cfRule type="cellIs" dxfId="1166" priority="340" operator="notEqual">
      <formula>ROUND(K45/K46*100,1)</formula>
    </cfRule>
  </conditionalFormatting>
  <conditionalFormatting sqref="S49">
    <cfRule type="cellIs" dxfId="1165" priority="341" operator="notEqual">
      <formula>ROUND(L45/L46*100,1)</formula>
    </cfRule>
  </conditionalFormatting>
  <conditionalFormatting sqref="I50">
    <cfRule type="cellIs" dxfId="1164" priority="342" operator="notEqual">
      <formula>ROUND(G46/G9*100,1)</formula>
    </cfRule>
  </conditionalFormatting>
  <conditionalFormatting sqref="J50">
    <cfRule type="cellIs" dxfId="1163" priority="343" operator="notEqual">
      <formula>ROUND(H46/H9*100,1)</formula>
    </cfRule>
  </conditionalFormatting>
  <conditionalFormatting sqref="K50">
    <cfRule type="cellIs" dxfId="1162" priority="344" operator="notEqual">
      <formula>ROUND(G50/E50,1)</formula>
    </cfRule>
  </conditionalFormatting>
  <conditionalFormatting sqref="L50">
    <cfRule type="cellIs" dxfId="1161" priority="345" operator="notEqual">
      <formula>ROUND(H50/F50,1)</formula>
    </cfRule>
  </conditionalFormatting>
  <conditionalFormatting sqref="M50">
    <cfRule type="cellIs" dxfId="1160" priority="346" operator="notEqual">
      <formula>ROUND(K50/L50*100,1)</formula>
    </cfRule>
  </conditionalFormatting>
  <conditionalFormatting sqref="N50">
    <cfRule type="cellIs" dxfId="1159" priority="347" operator="notEqual">
      <formula>ROUND(E50/F50*100,1)</formula>
    </cfRule>
  </conditionalFormatting>
  <conditionalFormatting sqref="O50">
    <cfRule type="cellIs" dxfId="1158" priority="348" operator="notEqual">
      <formula>ROUND(G50/H50*100,1)</formula>
    </cfRule>
  </conditionalFormatting>
  <conditionalFormatting sqref="P50">
    <cfRule type="cellIs" dxfId="1157" priority="349" operator="notEqual">
      <formula>ROUND(E46/E43*100,1)</formula>
    </cfRule>
  </conditionalFormatting>
  <conditionalFormatting sqref="Q50">
    <cfRule type="cellIs" dxfId="1156" priority="350" operator="notEqual">
      <formula>ROUND(F46/F43*100,1)</formula>
    </cfRule>
  </conditionalFormatting>
  <conditionalFormatting sqref="R50">
    <cfRule type="cellIs" dxfId="1155" priority="351" operator="notEqual">
      <formula>ROUND(K46/K45*100,1)</formula>
    </cfRule>
  </conditionalFormatting>
  <conditionalFormatting sqref="S50">
    <cfRule type="cellIs" dxfId="1154" priority="352" operator="notEqual">
      <formula>ROUND(L46/L45*100,1)</formula>
    </cfRule>
  </conditionalFormatting>
  <conditionalFormatting sqref="E51">
    <cfRule type="cellIs" dxfId="1153" priority="353" operator="notEqual">
      <formula>ROUND(SUM(E49:E50),1)</formula>
    </cfRule>
  </conditionalFormatting>
  <conditionalFormatting sqref="F51">
    <cfRule type="cellIs" dxfId="1152" priority="354" operator="notEqual">
      <formula>ROUND(SUM(F49:F50),1)</formula>
    </cfRule>
  </conditionalFormatting>
  <conditionalFormatting sqref="G51">
    <cfRule type="cellIs" dxfId="1151" priority="355" operator="notEqual">
      <formula>ROUND(SUM(G49:G50),1)</formula>
    </cfRule>
  </conditionalFormatting>
  <conditionalFormatting sqref="H51">
    <cfRule type="cellIs" dxfId="1150" priority="356" operator="notEqual">
      <formula>ROUND(SUM(H49:H50),1)</formula>
    </cfRule>
  </conditionalFormatting>
  <conditionalFormatting sqref="I51">
    <cfRule type="cellIs" dxfId="1149" priority="357" operator="notEqual">
      <formula>ROUND(G47/G6*100,1)</formula>
    </cfRule>
  </conditionalFormatting>
  <conditionalFormatting sqref="J51">
    <cfRule type="cellIs" dxfId="1148" priority="358" operator="notEqual">
      <formula>ROUND(H47/H6*100,1)</formula>
    </cfRule>
  </conditionalFormatting>
  <conditionalFormatting sqref="K51">
    <cfRule type="cellIs" dxfId="1147" priority="359" operator="notEqual">
      <formula>ROUND(G51/E51,1)</formula>
    </cfRule>
  </conditionalFormatting>
  <conditionalFormatting sqref="L51">
    <cfRule type="cellIs" dxfId="1146" priority="360" operator="notEqual">
      <formula>ROUND(H51/F51,1)</formula>
    </cfRule>
  </conditionalFormatting>
  <conditionalFormatting sqref="M51">
    <cfRule type="cellIs" dxfId="1145" priority="361" operator="notEqual">
      <formula>ROUND(K51/L51*100,1)</formula>
    </cfRule>
  </conditionalFormatting>
  <conditionalFormatting sqref="N51">
    <cfRule type="cellIs" dxfId="1144" priority="362" operator="notEqual">
      <formula>ROUND(E51/F51*100,1)</formula>
    </cfRule>
  </conditionalFormatting>
  <conditionalFormatting sqref="O51">
    <cfRule type="cellIs" dxfId="1143" priority="363" operator="notEqual">
      <formula>ROUND(G51/H51*100,1)</formula>
    </cfRule>
  </conditionalFormatting>
  <conditionalFormatting sqref="P51">
    <cfRule type="cellIs" dxfId="1142" priority="364" operator="notEqual">
      <formula>ROUND(SUM(P49:P50),1)</formula>
    </cfRule>
  </conditionalFormatting>
  <conditionalFormatting sqref="Q51">
    <cfRule type="cellIs" dxfId="1141" priority="365" operator="notEqual">
      <formula>ROUND(SUM(Q49:Q50),1)</formula>
    </cfRule>
  </conditionalFormatting>
  <conditionalFormatting sqref="I53">
    <cfRule type="cellIs" dxfId="1140" priority="366" operator="notEqual">
      <formula>ROUND(G49/G8*100,1)</formula>
    </cfRule>
  </conditionalFormatting>
  <conditionalFormatting sqref="J53">
    <cfRule type="cellIs" dxfId="1139" priority="367" operator="notEqual">
      <formula>ROUND(H49/H8*100,1)</formula>
    </cfRule>
  </conditionalFormatting>
  <conditionalFormatting sqref="K53">
    <cfRule type="cellIs" dxfId="1138" priority="368" operator="notEqual">
      <formula>ROUND(G53/E53,1)</formula>
    </cfRule>
  </conditionalFormatting>
  <conditionalFormatting sqref="L53">
    <cfRule type="cellIs" dxfId="1137" priority="369" operator="notEqual">
      <formula>ROUND(H53/F53,1)</formula>
    </cfRule>
  </conditionalFormatting>
  <conditionalFormatting sqref="M53">
    <cfRule type="cellIs" dxfId="1136" priority="370" operator="notEqual">
      <formula>ROUND(K53/L53*100,1)</formula>
    </cfRule>
  </conditionalFormatting>
  <conditionalFormatting sqref="N53">
    <cfRule type="cellIs" dxfId="1135" priority="371" operator="notEqual">
      <formula>ROUND(E53/F53*100,1)</formula>
    </cfRule>
  </conditionalFormatting>
  <conditionalFormatting sqref="O53">
    <cfRule type="cellIs" dxfId="1134" priority="372" operator="notEqual">
      <formula>ROUND(G53/H53*100,1)</formula>
    </cfRule>
  </conditionalFormatting>
  <conditionalFormatting sqref="P53">
    <cfRule type="cellIs" dxfId="1133" priority="373" operator="notEqual">
      <formula>ROUND(E49/E47*100,1)</formula>
    </cfRule>
  </conditionalFormatting>
  <conditionalFormatting sqref="Q53">
    <cfRule type="cellIs" dxfId="1132" priority="374" operator="notEqual">
      <formula>ROUND(F49/F47*100,1)</formula>
    </cfRule>
  </conditionalFormatting>
  <conditionalFormatting sqref="R53">
    <cfRule type="cellIs" dxfId="1131" priority="375" operator="notEqual">
      <formula>ROUND(K49/K50*100,1)</formula>
    </cfRule>
  </conditionalFormatting>
  <conditionalFormatting sqref="S53">
    <cfRule type="cellIs" dxfId="1130" priority="376" operator="notEqual">
      <formula>ROUND(L49/L50*100,1)</formula>
    </cfRule>
  </conditionalFormatting>
  <conditionalFormatting sqref="I54">
    <cfRule type="cellIs" dxfId="1129" priority="377" operator="notEqual">
      <formula>ROUND(G50/G9*100,1)</formula>
    </cfRule>
  </conditionalFormatting>
  <conditionalFormatting sqref="J54">
    <cfRule type="cellIs" dxfId="1128" priority="378" operator="notEqual">
      <formula>ROUND(H50/H9*100,1)</formula>
    </cfRule>
  </conditionalFormatting>
  <conditionalFormatting sqref="K54">
    <cfRule type="cellIs" dxfId="1127" priority="379" operator="notEqual">
      <formula>ROUND(G54/E54,1)</formula>
    </cfRule>
  </conditionalFormatting>
  <conditionalFormatting sqref="L54">
    <cfRule type="cellIs" dxfId="1126" priority="380" operator="notEqual">
      <formula>ROUND(H54/F54,1)</formula>
    </cfRule>
  </conditionalFormatting>
  <conditionalFormatting sqref="M54">
    <cfRule type="cellIs" dxfId="1125" priority="381" operator="notEqual">
      <formula>ROUND(K54/L54*100,1)</formula>
    </cfRule>
  </conditionalFormatting>
  <conditionalFormatting sqref="N54">
    <cfRule type="cellIs" dxfId="1124" priority="382" operator="notEqual">
      <formula>ROUND(E54/F54*100,1)</formula>
    </cfRule>
  </conditionalFormatting>
  <conditionalFormatting sqref="O54">
    <cfRule type="cellIs" dxfId="1123" priority="383" operator="notEqual">
      <formula>ROUND(G54/H54*100,1)</formula>
    </cfRule>
  </conditionalFormatting>
  <conditionalFormatting sqref="P54">
    <cfRule type="cellIs" dxfId="1122" priority="384" operator="notEqual">
      <formula>ROUND(E50/E47*100,1)</formula>
    </cfRule>
  </conditionalFormatting>
  <conditionalFormatting sqref="Q54">
    <cfRule type="cellIs" dxfId="1121" priority="385" operator="notEqual">
      <formula>ROUND(F50/F47*100,1)</formula>
    </cfRule>
  </conditionalFormatting>
  <conditionalFormatting sqref="R54">
    <cfRule type="cellIs" dxfId="1120" priority="386" operator="notEqual">
      <formula>ROUND(K50/K49*100,1)</formula>
    </cfRule>
  </conditionalFormatting>
  <conditionalFormatting sqref="S54">
    <cfRule type="cellIs" dxfId="1119" priority="387" operator="notEqual">
      <formula>ROUND(L50/L49*100,1)</formula>
    </cfRule>
  </conditionalFormatting>
  <conditionalFormatting sqref="E55">
    <cfRule type="cellIs" dxfId="1118" priority="388" operator="notEqual">
      <formula>ROUND(SUM(E53:E54),1)</formula>
    </cfRule>
  </conditionalFormatting>
  <conditionalFormatting sqref="F55">
    <cfRule type="cellIs" dxfId="1117" priority="389" operator="notEqual">
      <formula>ROUND(SUM(F53:F54),1)</formula>
    </cfRule>
  </conditionalFormatting>
  <conditionalFormatting sqref="G55">
    <cfRule type="cellIs" dxfId="1116" priority="390" operator="notEqual">
      <formula>ROUND(SUM(G53:G54),1)</formula>
    </cfRule>
  </conditionalFormatting>
  <conditionalFormatting sqref="H55">
    <cfRule type="cellIs" dxfId="1115" priority="391" operator="notEqual">
      <formula>ROUND(SUM(H53:H54),1)</formula>
    </cfRule>
  </conditionalFormatting>
  <conditionalFormatting sqref="I55">
    <cfRule type="cellIs" dxfId="1114" priority="392" operator="notEqual">
      <formula>ROUND(G51/G6*100,1)</formula>
    </cfRule>
  </conditionalFormatting>
  <conditionalFormatting sqref="J55">
    <cfRule type="cellIs" dxfId="1113" priority="393" operator="notEqual">
      <formula>ROUND(H51/H6*100,1)</formula>
    </cfRule>
  </conditionalFormatting>
  <conditionalFormatting sqref="K55">
    <cfRule type="cellIs" dxfId="1112" priority="394" operator="notEqual">
      <formula>ROUND(G55/E55,1)</formula>
    </cfRule>
  </conditionalFormatting>
  <conditionalFormatting sqref="L55">
    <cfRule type="cellIs" dxfId="1111" priority="395" operator="notEqual">
      <formula>ROUND(H55/F55,1)</formula>
    </cfRule>
  </conditionalFormatting>
  <conditionalFormatting sqref="M55">
    <cfRule type="cellIs" dxfId="1110" priority="396" operator="notEqual">
      <formula>ROUND(K55/L55*100,1)</formula>
    </cfRule>
  </conditionalFormatting>
  <conditionalFormatting sqref="N55">
    <cfRule type="cellIs" dxfId="1109" priority="397" operator="notEqual">
      <formula>ROUND(E55/F55*100,1)</formula>
    </cfRule>
  </conditionalFormatting>
  <conditionalFormatting sqref="O55">
    <cfRule type="cellIs" dxfId="1108" priority="398" operator="notEqual">
      <formula>ROUND(G55/H55*100,1)</formula>
    </cfRule>
  </conditionalFormatting>
  <conditionalFormatting sqref="P55">
    <cfRule type="cellIs" dxfId="1107" priority="399" operator="notEqual">
      <formula>ROUND(SUM(P53:P54),1)</formula>
    </cfRule>
  </conditionalFormatting>
  <conditionalFormatting sqref="Q55">
    <cfRule type="cellIs" dxfId="1106" priority="400" operator="notEqual">
      <formula>ROUND(SUM(Q53:Q54),1)</formula>
    </cfRule>
  </conditionalFormatting>
  <conditionalFormatting sqref="I57">
    <cfRule type="cellIs" dxfId="1105" priority="401" operator="notEqual">
      <formula>ROUND(G53/G8*100,1)</formula>
    </cfRule>
  </conditionalFormatting>
  <conditionalFormatting sqref="J57">
    <cfRule type="cellIs" dxfId="1104" priority="402" operator="notEqual">
      <formula>ROUND(H53/H8*100,1)</formula>
    </cfRule>
  </conditionalFormatting>
  <conditionalFormatting sqref="K57">
    <cfRule type="cellIs" dxfId="1103" priority="403" operator="notEqual">
      <formula>ROUND(G57/E57,1)</formula>
    </cfRule>
  </conditionalFormatting>
  <conditionalFormatting sqref="L57">
    <cfRule type="cellIs" dxfId="1102" priority="404" operator="notEqual">
      <formula>ROUND(H57/F57,1)</formula>
    </cfRule>
  </conditionalFormatting>
  <conditionalFormatting sqref="M57">
    <cfRule type="cellIs" dxfId="1101" priority="405" operator="notEqual">
      <formula>ROUND(K57/L57*100,1)</formula>
    </cfRule>
  </conditionalFormatting>
  <conditionalFormatting sqref="N57">
    <cfRule type="cellIs" dxfId="1100" priority="406" operator="notEqual">
      <formula>ROUND(E57/F57*100,1)</formula>
    </cfRule>
  </conditionalFormatting>
  <conditionalFormatting sqref="O57">
    <cfRule type="cellIs" dxfId="1099" priority="407" operator="notEqual">
      <formula>ROUND(G57/H57*100,1)</formula>
    </cfRule>
  </conditionalFormatting>
  <conditionalFormatting sqref="P57">
    <cfRule type="cellIs" dxfId="1098" priority="408" operator="notEqual">
      <formula>ROUND(E53/E51*100,1)</formula>
    </cfRule>
  </conditionalFormatting>
  <conditionalFormatting sqref="Q57">
    <cfRule type="cellIs" dxfId="1097" priority="409" operator="notEqual">
      <formula>ROUND(F53/F51*100,1)</formula>
    </cfRule>
  </conditionalFormatting>
  <conditionalFormatting sqref="R57">
    <cfRule type="cellIs" dxfId="1096" priority="410" operator="notEqual">
      <formula>ROUND(K53/K54*100,1)</formula>
    </cfRule>
  </conditionalFormatting>
  <conditionalFormatting sqref="S57">
    <cfRule type="cellIs" dxfId="1095" priority="411" operator="notEqual">
      <formula>ROUND(L53/L54*100,1)</formula>
    </cfRule>
  </conditionalFormatting>
  <conditionalFormatting sqref="I58">
    <cfRule type="cellIs" dxfId="1094" priority="412" operator="notEqual">
      <formula>ROUND(G54/G9*100,1)</formula>
    </cfRule>
  </conditionalFormatting>
  <conditionalFormatting sqref="J58">
    <cfRule type="cellIs" dxfId="1093" priority="413" operator="notEqual">
      <formula>ROUND(H54/H9*100,1)</formula>
    </cfRule>
  </conditionalFormatting>
  <conditionalFormatting sqref="K58">
    <cfRule type="cellIs" dxfId="1092" priority="414" operator="notEqual">
      <formula>ROUND(G58/E58,1)</formula>
    </cfRule>
  </conditionalFormatting>
  <conditionalFormatting sqref="L58">
    <cfRule type="cellIs" dxfId="1091" priority="415" operator="notEqual">
      <formula>ROUND(H58/F58,1)</formula>
    </cfRule>
  </conditionalFormatting>
  <conditionalFormatting sqref="M58">
    <cfRule type="cellIs" dxfId="1090" priority="416" operator="notEqual">
      <formula>ROUND(K58/L58*100,1)</formula>
    </cfRule>
  </conditionalFormatting>
  <conditionalFormatting sqref="N58">
    <cfRule type="cellIs" dxfId="1089" priority="417" operator="notEqual">
      <formula>ROUND(E58/F58*100,1)</formula>
    </cfRule>
  </conditionalFormatting>
  <conditionalFormatting sqref="O58">
    <cfRule type="cellIs" dxfId="1088" priority="418" operator="notEqual">
      <formula>ROUND(G58/H58*100,1)</formula>
    </cfRule>
  </conditionalFormatting>
  <conditionalFormatting sqref="P58">
    <cfRule type="cellIs" dxfId="1087" priority="419" operator="notEqual">
      <formula>ROUND(E54/E51*100,1)</formula>
    </cfRule>
  </conditionalFormatting>
  <conditionalFormatting sqref="Q58">
    <cfRule type="cellIs" dxfId="1086" priority="420" operator="notEqual">
      <formula>ROUND(F54/F51*100,1)</formula>
    </cfRule>
  </conditionalFormatting>
  <conditionalFormatting sqref="R58">
    <cfRule type="cellIs" dxfId="1085" priority="421" operator="notEqual">
      <formula>ROUND(K54/K53*100,1)</formula>
    </cfRule>
  </conditionalFormatting>
  <conditionalFormatting sqref="S58">
    <cfRule type="cellIs" dxfId="1084" priority="422" operator="notEqual">
      <formula>ROUND(L54/L53*100,1)</formula>
    </cfRule>
  </conditionalFormatting>
  <conditionalFormatting sqref="E59">
    <cfRule type="cellIs" dxfId="1083" priority="423" operator="notEqual">
      <formula>ROUND(SUM(E57:E58),1)</formula>
    </cfRule>
  </conditionalFormatting>
  <conditionalFormatting sqref="F59">
    <cfRule type="cellIs" dxfId="1082" priority="424" operator="notEqual">
      <formula>ROUND(SUM(F57:F58),1)</formula>
    </cfRule>
  </conditionalFormatting>
  <conditionalFormatting sqref="G59">
    <cfRule type="cellIs" dxfId="1081" priority="425" operator="notEqual">
      <formula>ROUND(SUM(G57:G58),1)</formula>
    </cfRule>
  </conditionalFormatting>
  <conditionalFormatting sqref="H59">
    <cfRule type="cellIs" dxfId="1080" priority="426" operator="notEqual">
      <formula>ROUND(SUM(H57:H58),1)</formula>
    </cfRule>
  </conditionalFormatting>
  <conditionalFormatting sqref="I59">
    <cfRule type="cellIs" dxfId="1079" priority="427" operator="notEqual">
      <formula>ROUND(G55/G6*100,1)</formula>
    </cfRule>
  </conditionalFormatting>
  <conditionalFormatting sqref="J59">
    <cfRule type="cellIs" dxfId="1078" priority="428" operator="notEqual">
      <formula>ROUND(H55/H6*100,1)</formula>
    </cfRule>
  </conditionalFormatting>
  <conditionalFormatting sqref="K59">
    <cfRule type="cellIs" dxfId="1077" priority="429" operator="notEqual">
      <formula>ROUND(G59/E59*100,1)</formula>
    </cfRule>
  </conditionalFormatting>
  <conditionalFormatting sqref="L59">
    <cfRule type="cellIs" dxfId="1076" priority="430" operator="notEqual">
      <formula>ROUND(H59/F59*100,1)</formula>
    </cfRule>
  </conditionalFormatting>
  <conditionalFormatting sqref="M59">
    <cfRule type="cellIs" dxfId="1075" priority="431" operator="notEqual">
      <formula>ROUND(K59/L59*100,1)</formula>
    </cfRule>
  </conditionalFormatting>
  <conditionalFormatting sqref="N59">
    <cfRule type="cellIs" dxfId="1074" priority="432" operator="notEqual">
      <formula>ROUND(E59/F59*100,1)</formula>
    </cfRule>
  </conditionalFormatting>
  <conditionalFormatting sqref="O59">
    <cfRule type="cellIs" dxfId="1073" priority="433" operator="notEqual">
      <formula>ROUND(G59/H59*100,1)</formula>
    </cfRule>
  </conditionalFormatting>
  <conditionalFormatting sqref="P59">
    <cfRule type="cellIs" dxfId="1072" priority="434" operator="notEqual">
      <formula>ROUND(SUM(P57:P58),1)</formula>
    </cfRule>
  </conditionalFormatting>
  <conditionalFormatting sqref="Q59">
    <cfRule type="cellIs" dxfId="1071" priority="435" operator="notEqual">
      <formula>ROUND(SUM(Q57:Q58),1)</formula>
    </cfRule>
  </conditionalFormatting>
  <conditionalFormatting sqref="I61">
    <cfRule type="cellIs" dxfId="1070" priority="436" operator="notEqual">
      <formula>ROUND(G57/G8*100,1)</formula>
    </cfRule>
  </conditionalFormatting>
  <conditionalFormatting sqref="J61">
    <cfRule type="cellIs" dxfId="1069" priority="437" operator="notEqual">
      <formula>ROUND(H57/H8*100,1)</formula>
    </cfRule>
  </conditionalFormatting>
  <conditionalFormatting sqref="K61">
    <cfRule type="cellIs" dxfId="1068" priority="438" operator="notEqual">
      <formula>ROUND(G61/E61,1)</formula>
    </cfRule>
  </conditionalFormatting>
  <conditionalFormatting sqref="L61">
    <cfRule type="cellIs" dxfId="1067" priority="439" operator="notEqual">
      <formula>ROUND(H61/F61,1)</formula>
    </cfRule>
  </conditionalFormatting>
  <conditionalFormatting sqref="M61">
    <cfRule type="cellIs" dxfId="1066" priority="440" operator="notEqual">
      <formula>ROUND(K61/L61*100,1)</formula>
    </cfRule>
  </conditionalFormatting>
  <conditionalFormatting sqref="N61">
    <cfRule type="cellIs" dxfId="1065" priority="441" operator="notEqual">
      <formula>ROUND(E61/F61*100,1)</formula>
    </cfRule>
  </conditionalFormatting>
  <conditionalFormatting sqref="O61">
    <cfRule type="cellIs" dxfId="1064" priority="442" operator="notEqual">
      <formula>ROUND(G61/H61*100,1)</formula>
    </cfRule>
  </conditionalFormatting>
  <conditionalFormatting sqref="P61">
    <cfRule type="cellIs" dxfId="1063" priority="443" operator="notEqual">
      <formula>ROUND(E57/E55*100,1)</formula>
    </cfRule>
  </conditionalFormatting>
  <conditionalFormatting sqref="Q61">
    <cfRule type="cellIs" dxfId="1062" priority="444" operator="notEqual">
      <formula>ROUND(F57/F55*100,1)</formula>
    </cfRule>
  </conditionalFormatting>
  <conditionalFormatting sqref="R61">
    <cfRule type="cellIs" dxfId="1061" priority="445" operator="notEqual">
      <formula>ROUND(K57/K58*100,1)</formula>
    </cfRule>
  </conditionalFormatting>
  <conditionalFormatting sqref="S61">
    <cfRule type="cellIs" dxfId="1060" priority="446" operator="notEqual">
      <formula>ROUND(L57/L58*100,1)</formula>
    </cfRule>
  </conditionalFormatting>
  <conditionalFormatting sqref="I62">
    <cfRule type="cellIs" dxfId="1059" priority="447" operator="notEqual">
      <formula>ROUND(G58/G9*100,1)</formula>
    </cfRule>
  </conditionalFormatting>
  <conditionalFormatting sqref="J62">
    <cfRule type="cellIs" dxfId="1058" priority="448" operator="notEqual">
      <formula>ROUND(H58/H9*100,1)</formula>
    </cfRule>
  </conditionalFormatting>
  <conditionalFormatting sqref="K62">
    <cfRule type="cellIs" dxfId="1057" priority="449" operator="notEqual">
      <formula>ROUND(G62/E62,1)</formula>
    </cfRule>
  </conditionalFormatting>
  <conditionalFormatting sqref="L62">
    <cfRule type="cellIs" dxfId="1056" priority="450" operator="notEqual">
      <formula>ROUND(H62/F62,1)</formula>
    </cfRule>
  </conditionalFormatting>
  <conditionalFormatting sqref="M62">
    <cfRule type="cellIs" dxfId="1055" priority="451" operator="notEqual">
      <formula>ROUND(K62/L62*100,1)</formula>
    </cfRule>
  </conditionalFormatting>
  <conditionalFormatting sqref="N62">
    <cfRule type="cellIs" dxfId="1054" priority="452" operator="notEqual">
      <formula>ROUND(E62/F62*100,1)</formula>
    </cfRule>
  </conditionalFormatting>
  <conditionalFormatting sqref="O62">
    <cfRule type="cellIs" dxfId="1053" priority="453" operator="notEqual">
      <formula>ROUND(G62/H62*100,1)</formula>
    </cfRule>
  </conditionalFormatting>
  <conditionalFormatting sqref="P62">
    <cfRule type="cellIs" dxfId="1052" priority="454" operator="notEqual">
      <formula>ROUND(E58/E55*100,1)</formula>
    </cfRule>
  </conditionalFormatting>
  <conditionalFormatting sqref="Q62">
    <cfRule type="cellIs" dxfId="1051" priority="455" operator="notEqual">
      <formula>ROUND(F58/F55*100,1)</formula>
    </cfRule>
  </conditionalFormatting>
  <conditionalFormatting sqref="R62">
    <cfRule type="cellIs" dxfId="1050" priority="456" operator="notEqual">
      <formula>ROUND(K58/K57*100,1)</formula>
    </cfRule>
  </conditionalFormatting>
  <conditionalFormatting sqref="S62">
    <cfRule type="cellIs" dxfId="1049" priority="457" operator="notEqual">
      <formula>ROUND(L58/L57*100,1)</formula>
    </cfRule>
  </conditionalFormatting>
  <conditionalFormatting sqref="E63">
    <cfRule type="cellIs" dxfId="1048" priority="458" operator="notEqual">
      <formula>ROUND(SUM(E61:E62),1)</formula>
    </cfRule>
  </conditionalFormatting>
  <conditionalFormatting sqref="F63">
    <cfRule type="cellIs" dxfId="1047" priority="459" operator="notEqual">
      <formula>ROUND(SUM(F61:F62),1)</formula>
    </cfRule>
  </conditionalFormatting>
  <conditionalFormatting sqref="G63">
    <cfRule type="cellIs" dxfId="1046" priority="460" operator="notEqual">
      <formula>ROUND(SUM(G61:G62),1)</formula>
    </cfRule>
  </conditionalFormatting>
  <conditionalFormatting sqref="H63">
    <cfRule type="cellIs" dxfId="1045" priority="461" operator="notEqual">
      <formula>ROUND(SUM(H61:H62),1)</formula>
    </cfRule>
  </conditionalFormatting>
  <conditionalFormatting sqref="I63">
    <cfRule type="cellIs" dxfId="1044" priority="462" operator="notEqual">
      <formula>ROUND(G61/G6*100,1)</formula>
    </cfRule>
  </conditionalFormatting>
  <conditionalFormatting sqref="J63">
    <cfRule type="cellIs" dxfId="1043" priority="463" operator="notEqual">
      <formula>ROUND(H61/H6*100,1)</formula>
    </cfRule>
  </conditionalFormatting>
  <conditionalFormatting sqref="K63">
    <cfRule type="cellIs" dxfId="1042" priority="464" operator="notEqual">
      <formula>ROUND(G63/E63,1)</formula>
    </cfRule>
  </conditionalFormatting>
  <conditionalFormatting sqref="L63">
    <cfRule type="cellIs" dxfId="1041" priority="465" operator="notEqual">
      <formula>ROUND(H63/F63,1)</formula>
    </cfRule>
  </conditionalFormatting>
  <conditionalFormatting sqref="M63">
    <cfRule type="cellIs" dxfId="1040" priority="466" operator="notEqual">
      <formula>ROUND(K63/L63*100,1)</formula>
    </cfRule>
  </conditionalFormatting>
  <conditionalFormatting sqref="N63">
    <cfRule type="cellIs" dxfId="1039" priority="467" operator="notEqual">
      <formula>ROUND(E63/F63*100,1)</formula>
    </cfRule>
  </conditionalFormatting>
  <conditionalFormatting sqref="O63">
    <cfRule type="cellIs" dxfId="1038" priority="468" operator="notEqual">
      <formula>ROUND(G63/H63*100,1)</formula>
    </cfRule>
  </conditionalFormatting>
  <conditionalFormatting sqref="P63">
    <cfRule type="cellIs" dxfId="1037" priority="469" operator="notEqual">
      <formula>ROUND(SUM(P61:P62),1)</formula>
    </cfRule>
  </conditionalFormatting>
  <conditionalFormatting sqref="Q63">
    <cfRule type="cellIs" dxfId="1036" priority="470" operator="notEqual">
      <formula>ROUND(SUM(Q61:Q62),1)</formula>
    </cfRule>
  </conditionalFormatting>
  <conditionalFormatting sqref="I65">
    <cfRule type="cellIs" dxfId="1035" priority="471" operator="notEqual">
      <formula>ROUND(G61/G8*100,1)</formula>
    </cfRule>
  </conditionalFormatting>
  <conditionalFormatting sqref="J65">
    <cfRule type="cellIs" dxfId="1034" priority="472" operator="notEqual">
      <formula>ROUND(H61/H8*100,1)</formula>
    </cfRule>
  </conditionalFormatting>
  <conditionalFormatting sqref="K65">
    <cfRule type="cellIs" dxfId="1033" priority="473" operator="notEqual">
      <formula>ROUND(G65/E65,1)</formula>
    </cfRule>
  </conditionalFormatting>
  <conditionalFormatting sqref="L65">
    <cfRule type="cellIs" dxfId="1032" priority="474" operator="notEqual">
      <formula>ROUND(H65/F65,1)</formula>
    </cfRule>
  </conditionalFormatting>
  <conditionalFormatting sqref="M65">
    <cfRule type="cellIs" dxfId="1031" priority="475" operator="notEqual">
      <formula>ROUND(K65/L65*100,1)</formula>
    </cfRule>
  </conditionalFormatting>
  <conditionalFormatting sqref="N65">
    <cfRule type="cellIs" dxfId="1030" priority="476" operator="notEqual">
      <formula>ROUND(E65/F65*100,1)</formula>
    </cfRule>
  </conditionalFormatting>
  <conditionalFormatting sqref="O65">
    <cfRule type="cellIs" dxfId="1029" priority="477" operator="notEqual">
      <formula>ROUND(G65/H65*100,1)</formula>
    </cfRule>
  </conditionalFormatting>
  <conditionalFormatting sqref="P65">
    <cfRule type="cellIs" dxfId="1028" priority="478" operator="notEqual">
      <formula>ROUND(E61/E59*100,1)</formula>
    </cfRule>
  </conditionalFormatting>
  <conditionalFormatting sqref="Q65">
    <cfRule type="cellIs" dxfId="1027" priority="479" operator="notEqual">
      <formula>ROUND(F61/F59*100,1)</formula>
    </cfRule>
  </conditionalFormatting>
  <conditionalFormatting sqref="R65">
    <cfRule type="cellIs" dxfId="1026" priority="480" operator="notEqual">
      <formula>ROUND(K61/K62*100,1)</formula>
    </cfRule>
  </conditionalFormatting>
  <conditionalFormatting sqref="S65">
    <cfRule type="cellIs" dxfId="1025" priority="481" operator="notEqual">
      <formula>ROUND(L61/L62*100,1)</formula>
    </cfRule>
  </conditionalFormatting>
  <conditionalFormatting sqref="I66">
    <cfRule type="cellIs" dxfId="1024" priority="482" operator="notEqual">
      <formula>ROUND(G62/G9*100,1)</formula>
    </cfRule>
  </conditionalFormatting>
  <conditionalFormatting sqref="J66">
    <cfRule type="cellIs" dxfId="1023" priority="483" operator="notEqual">
      <formula>ROUND(H62/H9*100,1)</formula>
    </cfRule>
  </conditionalFormatting>
  <conditionalFormatting sqref="K66">
    <cfRule type="cellIs" dxfId="1022" priority="484" operator="notEqual">
      <formula>ROUND(G66/E66,1)</formula>
    </cfRule>
  </conditionalFormatting>
  <conditionalFormatting sqref="L66">
    <cfRule type="cellIs" dxfId="1021" priority="485" operator="notEqual">
      <formula>ROUND(H66/F66,1)</formula>
    </cfRule>
  </conditionalFormatting>
  <conditionalFormatting sqref="M66">
    <cfRule type="cellIs" dxfId="1020" priority="486" operator="notEqual">
      <formula>ROUND(K66/L66*100,1)</formula>
    </cfRule>
  </conditionalFormatting>
  <conditionalFormatting sqref="N66">
    <cfRule type="cellIs" dxfId="1019" priority="487" operator="notEqual">
      <formula>ROUND(E66/F66*100,1)</formula>
    </cfRule>
  </conditionalFormatting>
  <conditionalFormatting sqref="O66">
    <cfRule type="cellIs" dxfId="1018" priority="488" operator="notEqual">
      <formula>ROUND(G66/H66*100,1)</formula>
    </cfRule>
  </conditionalFormatting>
  <conditionalFormatting sqref="P66">
    <cfRule type="cellIs" dxfId="1017" priority="489" operator="notEqual">
      <formula>ROUND(E62/E59*100,1)</formula>
    </cfRule>
  </conditionalFormatting>
  <conditionalFormatting sqref="Q66">
    <cfRule type="cellIs" dxfId="1016" priority="490" operator="notEqual">
      <formula>ROUND(F62/F59*100,1)</formula>
    </cfRule>
  </conditionalFormatting>
  <conditionalFormatting sqref="R66">
    <cfRule type="cellIs" dxfId="1015" priority="491" operator="notEqual">
      <formula>ROUND(K62/K61*100,1)</formula>
    </cfRule>
  </conditionalFormatting>
  <conditionalFormatting sqref="S66">
    <cfRule type="cellIs" dxfId="1014" priority="492" operator="notEqual">
      <formula>ROUND(L62/L61*100,1)</formula>
    </cfRule>
  </conditionalFormatting>
  <conditionalFormatting sqref="E67">
    <cfRule type="cellIs" dxfId="1013" priority="493" operator="notEqual">
      <formula>ROUND(SUM(E73:E74),1)</formula>
    </cfRule>
  </conditionalFormatting>
  <conditionalFormatting sqref="F67">
    <cfRule type="cellIs" dxfId="1012" priority="494" operator="notEqual">
      <formula>ROUND(SUM(F73:F74),1)</formula>
    </cfRule>
  </conditionalFormatting>
  <conditionalFormatting sqref="G67">
    <cfRule type="cellIs" dxfId="1011" priority="495" operator="notEqual">
      <formula>ROUND(SUM(G73:G74),1)</formula>
    </cfRule>
  </conditionalFormatting>
  <conditionalFormatting sqref="H67">
    <cfRule type="cellIs" dxfId="1010" priority="496" operator="notEqual">
      <formula>ROUND(SUM(H73:H74),1)</formula>
    </cfRule>
  </conditionalFormatting>
  <conditionalFormatting sqref="I67">
    <cfRule type="cellIs" dxfId="1009" priority="497" operator="notEqual">
      <formula>ROUND(G71/G6*100,1)</formula>
    </cfRule>
  </conditionalFormatting>
  <conditionalFormatting sqref="J67">
    <cfRule type="cellIs" dxfId="1008" priority="498" operator="notEqual">
      <formula>ROUND(H71/H6*100,1)</formula>
    </cfRule>
  </conditionalFormatting>
  <conditionalFormatting sqref="K67">
    <cfRule type="cellIs" dxfId="1007" priority="499" operator="notEqual">
      <formula>ROUND(G71/E71,1)</formula>
    </cfRule>
  </conditionalFormatting>
  <conditionalFormatting sqref="L67">
    <cfRule type="cellIs" dxfId="1006" priority="500" operator="notEqual">
      <formula>ROUND(H71/F71,1)</formula>
    </cfRule>
  </conditionalFormatting>
  <conditionalFormatting sqref="M67">
    <cfRule type="cellIs" dxfId="1005" priority="501" operator="notEqual">
      <formula>ROUND(K71/L71*100,1)</formula>
    </cfRule>
  </conditionalFormatting>
  <conditionalFormatting sqref="N67">
    <cfRule type="cellIs" dxfId="1004" priority="502" operator="notEqual">
      <formula>ROUND(E71/F71*100,1)</formula>
    </cfRule>
  </conditionalFormatting>
  <conditionalFormatting sqref="O67">
    <cfRule type="cellIs" dxfId="1003" priority="503" operator="notEqual">
      <formula>ROUND(G71/H71*100,1)</formula>
    </cfRule>
  </conditionalFormatting>
  <conditionalFormatting sqref="P67">
    <cfRule type="cellIs" dxfId="1002" priority="504" operator="notEqual">
      <formula>ROUND(SUM(P73:P74),1)</formula>
    </cfRule>
  </conditionalFormatting>
  <conditionalFormatting sqref="Q67">
    <cfRule type="cellIs" dxfId="1001" priority="505" operator="notEqual">
      <formula>ROUND(SUM(Q73:Q74),1)</formula>
    </cfRule>
  </conditionalFormatting>
  <conditionalFormatting sqref="I69">
    <cfRule type="cellIs" dxfId="1000" priority="506" operator="notEqual">
      <formula>ROUND(G73/G8*100,1)</formula>
    </cfRule>
  </conditionalFormatting>
  <conditionalFormatting sqref="J69">
    <cfRule type="cellIs" dxfId="999" priority="507" operator="notEqual">
      <formula>ROUND(H73/H8*100,1)</formula>
    </cfRule>
  </conditionalFormatting>
  <conditionalFormatting sqref="K69">
    <cfRule type="cellIs" dxfId="998" priority="508" operator="notEqual">
      <formula>ROUND(G73/E73,1)</formula>
    </cfRule>
  </conditionalFormatting>
  <conditionalFormatting sqref="L69">
    <cfRule type="cellIs" dxfId="997" priority="509" operator="notEqual">
      <formula>ROUND(H73/F73,1)</formula>
    </cfRule>
  </conditionalFormatting>
  <conditionalFormatting sqref="M69">
    <cfRule type="cellIs" dxfId="996" priority="510" operator="notEqual">
      <formula>ROUND(K73/L73*100,1)</formula>
    </cfRule>
  </conditionalFormatting>
  <conditionalFormatting sqref="N69">
    <cfRule type="cellIs" dxfId="995" priority="511" operator="notEqual">
      <formula>ROUND(E73/F73*100,1)</formula>
    </cfRule>
  </conditionalFormatting>
  <conditionalFormatting sqref="O69">
    <cfRule type="cellIs" dxfId="994" priority="512" operator="notEqual">
      <formula>ROUND(G73/H73*100,1)</formula>
    </cfRule>
  </conditionalFormatting>
  <conditionalFormatting sqref="P69">
    <cfRule type="cellIs" dxfId="993" priority="513" operator="notEqual">
      <formula>ROUND(E73/E71*100,1)</formula>
    </cfRule>
  </conditionalFormatting>
  <conditionalFormatting sqref="Q69">
    <cfRule type="cellIs" dxfId="992" priority="514" operator="notEqual">
      <formula>ROUND(F73/F71*100,1)</formula>
    </cfRule>
  </conditionalFormatting>
  <conditionalFormatting sqref="R69">
    <cfRule type="cellIs" dxfId="991" priority="515" operator="notEqual">
      <formula>ROUND(K73/K74*100,1)</formula>
    </cfRule>
  </conditionalFormatting>
  <conditionalFormatting sqref="S69">
    <cfRule type="cellIs" dxfId="990" priority="516" operator="notEqual">
      <formula>ROUND(L73/L74*100,1)</formula>
    </cfRule>
  </conditionalFormatting>
  <conditionalFormatting sqref="I70">
    <cfRule type="cellIs" dxfId="989" priority="517" operator="notEqual">
      <formula>ROUND(G74/G9*100,1)</formula>
    </cfRule>
  </conditionalFormatting>
  <conditionalFormatting sqref="J70">
    <cfRule type="cellIs" dxfId="988" priority="518" operator="notEqual">
      <formula>ROUND(H74/H9*100,1)</formula>
    </cfRule>
  </conditionalFormatting>
  <conditionalFormatting sqref="K70">
    <cfRule type="cellIs" dxfId="987" priority="519" operator="notEqual">
      <formula>ROUND(G74/E74,1)</formula>
    </cfRule>
  </conditionalFormatting>
  <conditionalFormatting sqref="L70">
    <cfRule type="cellIs" dxfId="986" priority="520" operator="notEqual">
      <formula>ROUND(H74/F74,1)</formula>
    </cfRule>
  </conditionalFormatting>
  <conditionalFormatting sqref="M70">
    <cfRule type="cellIs" dxfId="985" priority="521" operator="notEqual">
      <formula>ROUND(K74/L74*100,1)</formula>
    </cfRule>
  </conditionalFormatting>
  <conditionalFormatting sqref="N70">
    <cfRule type="cellIs" dxfId="984" priority="522" operator="notEqual">
      <formula>ROUND(E74/F74*100,1)</formula>
    </cfRule>
  </conditionalFormatting>
  <conditionalFormatting sqref="O70">
    <cfRule type="cellIs" dxfId="983" priority="523" operator="notEqual">
      <formula>ROUND(G74/H74*100,1)</formula>
    </cfRule>
  </conditionalFormatting>
  <conditionalFormatting sqref="P70">
    <cfRule type="cellIs" dxfId="982" priority="524" operator="notEqual">
      <formula>ROUND(E74/E71*100,1)</formula>
    </cfRule>
  </conditionalFormatting>
  <conditionalFormatting sqref="Q70">
    <cfRule type="cellIs" dxfId="981" priority="525" operator="notEqual">
      <formula>ROUND(F74/F71*100,1)</formula>
    </cfRule>
  </conditionalFormatting>
  <conditionalFormatting sqref="R70">
    <cfRule type="cellIs" dxfId="980" priority="526" operator="notEqual">
      <formula>ROUND(K74/K73*100,1)</formula>
    </cfRule>
  </conditionalFormatting>
  <conditionalFormatting sqref="S70">
    <cfRule type="cellIs" dxfId="979" priority="527" operator="notEqual">
      <formula>ROUND(L74/L73*100,1)</formula>
    </cfRule>
  </conditionalFormatting>
  <conditionalFormatting sqref="E71">
    <cfRule type="cellIs" dxfId="978" priority="528" operator="notEqual">
      <formula>ROUND(SUM(E77:E78),1)</formula>
    </cfRule>
  </conditionalFormatting>
  <conditionalFormatting sqref="F71">
    <cfRule type="cellIs" dxfId="977" priority="529" operator="notEqual">
      <formula>ROUND(SUM(F77:F78),1)</formula>
    </cfRule>
  </conditionalFormatting>
  <conditionalFormatting sqref="G71">
    <cfRule type="cellIs" dxfId="976" priority="530" operator="notEqual">
      <formula>ROUND(SUM(G77:G78),1)</formula>
    </cfRule>
  </conditionalFormatting>
  <conditionalFormatting sqref="H71">
    <cfRule type="cellIs" dxfId="975" priority="531" operator="notEqual">
      <formula>ROUND(SUM(H77:H78),1)</formula>
    </cfRule>
  </conditionalFormatting>
  <conditionalFormatting sqref="I71">
    <cfRule type="cellIs" dxfId="974" priority="532" operator="notEqual">
      <formula>ROUND(G75/G6*100,1)</formula>
    </cfRule>
  </conditionalFormatting>
  <conditionalFormatting sqref="J71">
    <cfRule type="cellIs" dxfId="973" priority="533" operator="notEqual">
      <formula>ROUND(H75/H6*100,1)</formula>
    </cfRule>
  </conditionalFormatting>
  <conditionalFormatting sqref="K71">
    <cfRule type="cellIs" dxfId="972" priority="534" operator="notEqual">
      <formula>ROUND(G75/E75,1)</formula>
    </cfRule>
  </conditionalFormatting>
  <conditionalFormatting sqref="L71">
    <cfRule type="cellIs" dxfId="971" priority="535" operator="notEqual">
      <formula>ROUND(H75/F75,1)</formula>
    </cfRule>
  </conditionalFormatting>
  <conditionalFormatting sqref="M71">
    <cfRule type="cellIs" dxfId="970" priority="536" operator="notEqual">
      <formula>ROUND(K75/L75*100,1)</formula>
    </cfRule>
  </conditionalFormatting>
  <conditionalFormatting sqref="N71">
    <cfRule type="cellIs" dxfId="969" priority="537" operator="notEqual">
      <formula>ROUND(E75/F75*100,1)</formula>
    </cfRule>
  </conditionalFormatting>
  <conditionalFormatting sqref="O71">
    <cfRule type="cellIs" dxfId="968" priority="538" operator="notEqual">
      <formula>ROUND(G75/H75*100,1)</formula>
    </cfRule>
  </conditionalFormatting>
  <conditionalFormatting sqref="P71">
    <cfRule type="cellIs" dxfId="967" priority="539" operator="notEqual">
      <formula>ROUND(SUM(P77:P78),1)</formula>
    </cfRule>
  </conditionalFormatting>
  <conditionalFormatting sqref="Q71">
    <cfRule type="cellIs" dxfId="966" priority="540" operator="notEqual">
      <formula>ROUND(SUM(Q77:Q78),1)</formula>
    </cfRule>
  </conditionalFormatting>
  <conditionalFormatting sqref="I73">
    <cfRule type="cellIs" dxfId="965" priority="541" operator="notEqual">
      <formula>ROUND(G77/G8*100,1)</formula>
    </cfRule>
  </conditionalFormatting>
  <conditionalFormatting sqref="J73">
    <cfRule type="cellIs" dxfId="964" priority="542" operator="notEqual">
      <formula>ROUND(H77/H8*100,1)</formula>
    </cfRule>
  </conditionalFormatting>
  <conditionalFormatting sqref="K73">
    <cfRule type="cellIs" dxfId="963" priority="543" operator="notEqual">
      <formula>ROUND(G77/E77,1)</formula>
    </cfRule>
  </conditionalFormatting>
  <conditionalFormatting sqref="L73">
    <cfRule type="cellIs" dxfId="962" priority="544" operator="notEqual">
      <formula>ROUND(H77/F77,1)</formula>
    </cfRule>
  </conditionalFormatting>
  <conditionalFormatting sqref="M73">
    <cfRule type="cellIs" dxfId="961" priority="545" operator="notEqual">
      <formula>ROUND(K77/L77*100,1)</formula>
    </cfRule>
  </conditionalFormatting>
  <conditionalFormatting sqref="N73">
    <cfRule type="cellIs" dxfId="960" priority="546" operator="notEqual">
      <formula>ROUND(E77/F77*100,1)</formula>
    </cfRule>
  </conditionalFormatting>
  <conditionalFormatting sqref="O73">
    <cfRule type="cellIs" dxfId="959" priority="547" operator="notEqual">
      <formula>ROUND(G77/H77*100,1)</formula>
    </cfRule>
  </conditionalFormatting>
  <conditionalFormatting sqref="P73">
    <cfRule type="cellIs" dxfId="958" priority="548" operator="notEqual">
      <formula>ROUND(E77/E75*100,1)</formula>
    </cfRule>
  </conditionalFormatting>
  <conditionalFormatting sqref="Q73">
    <cfRule type="cellIs" dxfId="957" priority="549" operator="notEqual">
      <formula>ROUND(F77/F75*100,1)</formula>
    </cfRule>
  </conditionalFormatting>
  <conditionalFormatting sqref="R73">
    <cfRule type="cellIs" dxfId="956" priority="550" operator="notEqual">
      <formula>ROUND(K77/K78*100,1)</formula>
    </cfRule>
  </conditionalFormatting>
  <conditionalFormatting sqref="S73">
    <cfRule type="cellIs" dxfId="955" priority="551" operator="notEqual">
      <formula>ROUND(L77/L78*100,1)</formula>
    </cfRule>
  </conditionalFormatting>
  <conditionalFormatting sqref="I74">
    <cfRule type="cellIs" dxfId="954" priority="552" operator="notEqual">
      <formula>ROUND(G78/G9*100,1)</formula>
    </cfRule>
  </conditionalFormatting>
  <conditionalFormatting sqref="J74">
    <cfRule type="cellIs" dxfId="953" priority="553" operator="notEqual">
      <formula>ROUND(H78/H9*100,1)</formula>
    </cfRule>
  </conditionalFormatting>
  <conditionalFormatting sqref="K74">
    <cfRule type="cellIs" dxfId="952" priority="554" operator="notEqual">
      <formula>ROUND(G78/E78*100,1)</formula>
    </cfRule>
  </conditionalFormatting>
  <conditionalFormatting sqref="L74">
    <cfRule type="cellIs" dxfId="951" priority="555" operator="notEqual">
      <formula>ROUND(H78/F78*100,1)</formula>
    </cfRule>
  </conditionalFormatting>
  <conditionalFormatting sqref="M74">
    <cfRule type="cellIs" dxfId="950" priority="556" operator="notEqual">
      <formula>ROUND(K78/L78*100,1)</formula>
    </cfRule>
  </conditionalFormatting>
  <conditionalFormatting sqref="N74">
    <cfRule type="cellIs" dxfId="949" priority="557" operator="notEqual">
      <formula>ROUND(E78/F78*100,1)</formula>
    </cfRule>
  </conditionalFormatting>
  <conditionalFormatting sqref="O74">
    <cfRule type="cellIs" dxfId="948" priority="558" operator="notEqual">
      <formula>ROUND(G78/H78*100,1)</formula>
    </cfRule>
  </conditionalFormatting>
  <conditionalFormatting sqref="P74">
    <cfRule type="cellIs" dxfId="947" priority="559" operator="notEqual">
      <formula>ROUND(E78/E75*100,1)</formula>
    </cfRule>
  </conditionalFormatting>
  <conditionalFormatting sqref="Q74">
    <cfRule type="cellIs" dxfId="946" priority="560" operator="notEqual">
      <formula>ROUND(F78/F75*100,1)</formula>
    </cfRule>
  </conditionalFormatting>
  <conditionalFormatting sqref="R74">
    <cfRule type="cellIs" dxfId="945" priority="561" operator="notEqual">
      <formula>ROUND(K78/K77*100,1)</formula>
    </cfRule>
  </conditionalFormatting>
  <conditionalFormatting sqref="S74">
    <cfRule type="cellIs" dxfId="944" priority="562" operator="notEqual">
      <formula>ROUND(L78/L77*100,1)</formula>
    </cfRule>
  </conditionalFormatting>
  <conditionalFormatting sqref="E75">
    <cfRule type="cellIs" dxfId="943" priority="563" operator="notEqual">
      <formula>ROUND(SUM(E81:E82),1)</formula>
    </cfRule>
  </conditionalFormatting>
  <conditionalFormatting sqref="F75">
    <cfRule type="cellIs" dxfId="942" priority="564" operator="notEqual">
      <formula>ROUND(SUM(F81:F82),1)</formula>
    </cfRule>
  </conditionalFormatting>
  <conditionalFormatting sqref="G75">
    <cfRule type="cellIs" dxfId="941" priority="565" operator="notEqual">
      <formula>ROUND(SUM(G81:G82),1)</formula>
    </cfRule>
  </conditionalFormatting>
  <conditionalFormatting sqref="H75">
    <cfRule type="cellIs" dxfId="940" priority="566" operator="notEqual">
      <formula>ROUND(SUM(H81:H82),1)</formula>
    </cfRule>
  </conditionalFormatting>
  <conditionalFormatting sqref="I75">
    <cfRule type="cellIs" dxfId="939" priority="567" operator="notEqual">
      <formula>ROUND(G79/G6*100,1)</formula>
    </cfRule>
  </conditionalFormatting>
  <conditionalFormatting sqref="J75">
    <cfRule type="cellIs" dxfId="938" priority="568" operator="notEqual">
      <formula>ROUND(H79/H6*100,1)</formula>
    </cfRule>
  </conditionalFormatting>
  <conditionalFormatting sqref="K75">
    <cfRule type="cellIs" dxfId="937" priority="569" operator="notEqual">
      <formula>ROUND(G79/E79,1)</formula>
    </cfRule>
  </conditionalFormatting>
  <conditionalFormatting sqref="L75">
    <cfRule type="cellIs" dxfId="936" priority="570" operator="notEqual">
      <formula>ROUND(H79/F79,1)</formula>
    </cfRule>
  </conditionalFormatting>
  <conditionalFormatting sqref="M75">
    <cfRule type="cellIs" dxfId="935" priority="571" operator="notEqual">
      <formula>ROUND(K79/L79*100,1)</formula>
    </cfRule>
  </conditionalFormatting>
  <conditionalFormatting sqref="N75">
    <cfRule type="cellIs" dxfId="934" priority="572" operator="notEqual">
      <formula>ROUND(E79/F79*100,1)</formula>
    </cfRule>
  </conditionalFormatting>
  <conditionalFormatting sqref="O75">
    <cfRule type="cellIs" dxfId="933" priority="573" operator="notEqual">
      <formula>ROUND(G79/H79*100,1)</formula>
    </cfRule>
  </conditionalFormatting>
  <conditionalFormatting sqref="P75">
    <cfRule type="cellIs" dxfId="932" priority="574" operator="notEqual">
      <formula>ROUND(SUM(P81:P82),1)</formula>
    </cfRule>
  </conditionalFormatting>
  <conditionalFormatting sqref="Q75">
    <cfRule type="cellIs" dxfId="931" priority="575" operator="notEqual">
      <formula>ROUND(SUM(Q81:Q82),1)</formula>
    </cfRule>
  </conditionalFormatting>
  <conditionalFormatting sqref="I77">
    <cfRule type="cellIs" dxfId="930" priority="576" operator="notEqual">
      <formula>ROUND(G81/G8*100,1)</formula>
    </cfRule>
  </conditionalFormatting>
  <conditionalFormatting sqref="J77">
    <cfRule type="cellIs" dxfId="929" priority="577" operator="notEqual">
      <formula>ROUND(H81/H8*100,1)</formula>
    </cfRule>
  </conditionalFormatting>
  <conditionalFormatting sqref="K77">
    <cfRule type="cellIs" dxfId="928" priority="578" operator="notEqual">
      <formula>ROUND(G81/E81,1)</formula>
    </cfRule>
  </conditionalFormatting>
  <conditionalFormatting sqref="L77">
    <cfRule type="cellIs" dxfId="927" priority="579" operator="notEqual">
      <formula>ROUND(H81/F81,1)</formula>
    </cfRule>
  </conditionalFormatting>
  <conditionalFormatting sqref="M77">
    <cfRule type="cellIs" dxfId="926" priority="580" operator="notEqual">
      <formula>ROUND(K81/L81*100,1)</formula>
    </cfRule>
  </conditionalFormatting>
  <conditionalFormatting sqref="N77">
    <cfRule type="cellIs" dxfId="925" priority="581" operator="notEqual">
      <formula>ROUND(E81/F81*100,1)</formula>
    </cfRule>
  </conditionalFormatting>
  <conditionalFormatting sqref="O77">
    <cfRule type="cellIs" dxfId="924" priority="582" operator="notEqual">
      <formula>ROUND(G81/H81*100,1)</formula>
    </cfRule>
  </conditionalFormatting>
  <conditionalFormatting sqref="P77">
    <cfRule type="cellIs" dxfId="923" priority="583" operator="notEqual">
      <formula>ROUND(E81/E79*100,1)</formula>
    </cfRule>
  </conditionalFormatting>
  <conditionalFormatting sqref="Q77">
    <cfRule type="cellIs" dxfId="922" priority="584" operator="notEqual">
      <formula>ROUND(F81/F79*100,1)</formula>
    </cfRule>
  </conditionalFormatting>
  <conditionalFormatting sqref="R77">
    <cfRule type="cellIs" dxfId="921" priority="585" operator="notEqual">
      <formula>ROUND(K81/K82*100,1)</formula>
    </cfRule>
  </conditionalFormatting>
  <conditionalFormatting sqref="S77">
    <cfRule type="cellIs" dxfId="920" priority="586" operator="notEqual">
      <formula>ROUND(L81/L82*100,1)</formula>
    </cfRule>
  </conditionalFormatting>
  <conditionalFormatting sqref="I78">
    <cfRule type="cellIs" dxfId="919" priority="587" operator="notEqual">
      <formula>ROUND(G82/G9*100,1)</formula>
    </cfRule>
  </conditionalFormatting>
  <conditionalFormatting sqref="J78">
    <cfRule type="cellIs" dxfId="918" priority="588" operator="notEqual">
      <formula>ROUND(H82/H9*100,1)</formula>
    </cfRule>
  </conditionalFormatting>
  <conditionalFormatting sqref="K78">
    <cfRule type="cellIs" dxfId="917" priority="589" operator="notEqual">
      <formula>ROUND(G82/E82,1)</formula>
    </cfRule>
  </conditionalFormatting>
  <conditionalFormatting sqref="L78">
    <cfRule type="cellIs" dxfId="916" priority="590" operator="notEqual">
      <formula>ROUND(H82/F82,1)</formula>
    </cfRule>
  </conditionalFormatting>
  <conditionalFormatting sqref="M78">
    <cfRule type="cellIs" dxfId="915" priority="591" operator="notEqual">
      <formula>ROUND(K82/L82*100,1)</formula>
    </cfRule>
  </conditionalFormatting>
  <conditionalFormatting sqref="N78">
    <cfRule type="cellIs" dxfId="914" priority="592" operator="notEqual">
      <formula>ROUND(E82/F82*100,1)</formula>
    </cfRule>
  </conditionalFormatting>
  <conditionalFormatting sqref="O78">
    <cfRule type="cellIs" dxfId="913" priority="593" operator="notEqual">
      <formula>ROUND(G82/H82*100,1)</formula>
    </cfRule>
  </conditionalFormatting>
  <conditionalFormatting sqref="P78">
    <cfRule type="cellIs" dxfId="912" priority="594" operator="notEqual">
      <formula>ROUND(E82/E79*100,1)</formula>
    </cfRule>
  </conditionalFormatting>
  <conditionalFormatting sqref="Q78">
    <cfRule type="cellIs" dxfId="911" priority="595" operator="notEqual">
      <formula>ROUND(F82/F79*100,1)</formula>
    </cfRule>
  </conditionalFormatting>
  <conditionalFormatting sqref="R78">
    <cfRule type="cellIs" dxfId="910" priority="596" operator="notEqual">
      <formula>ROUND(K82/K81*100,1)</formula>
    </cfRule>
  </conditionalFormatting>
  <conditionalFormatting sqref="S78">
    <cfRule type="cellIs" dxfId="909" priority="597" operator="notEqual">
      <formula>ROUND(L82/L81*100,1)</formula>
    </cfRule>
  </conditionalFormatting>
  <conditionalFormatting sqref="E79">
    <cfRule type="cellIs" dxfId="908" priority="598" operator="notEqual">
      <formula>ROUND(SUM(E85:E86),1)</formula>
    </cfRule>
  </conditionalFormatting>
  <conditionalFormatting sqref="F79">
    <cfRule type="cellIs" dxfId="907" priority="599" operator="notEqual">
      <formula>ROUND(SUM(F85:F86),1)</formula>
    </cfRule>
  </conditionalFormatting>
  <conditionalFormatting sqref="G79">
    <cfRule type="cellIs" dxfId="906" priority="600" operator="notEqual">
      <formula>ROUND(SUM(G85:G86),1)</formula>
    </cfRule>
  </conditionalFormatting>
  <conditionalFormatting sqref="H79">
    <cfRule type="cellIs" dxfId="905" priority="601" operator="notEqual">
      <formula>ROUND(SUM(H85:H86),1)</formula>
    </cfRule>
  </conditionalFormatting>
  <conditionalFormatting sqref="I79">
    <cfRule type="cellIs" dxfId="904" priority="602" operator="notEqual">
      <formula>ROUND(G85/G6*100,1)</formula>
    </cfRule>
  </conditionalFormatting>
  <conditionalFormatting sqref="J79">
    <cfRule type="cellIs" dxfId="903" priority="603" operator="notEqual">
      <formula>ROUND(H85/H6*100,1)</formula>
    </cfRule>
  </conditionalFormatting>
  <conditionalFormatting sqref="K79">
    <cfRule type="cellIs" dxfId="902" priority="604" operator="notEqual">
      <formula>ROUND(G83/E83,1)</formula>
    </cfRule>
  </conditionalFormatting>
  <conditionalFormatting sqref="L79">
    <cfRule type="cellIs" dxfId="901" priority="605" operator="notEqual">
      <formula>ROUND(H83/F83,1)</formula>
    </cfRule>
  </conditionalFormatting>
  <conditionalFormatting sqref="M79">
    <cfRule type="cellIs" dxfId="900" priority="606" operator="notEqual">
      <formula>ROUND(K83/L83*100,1)</formula>
    </cfRule>
  </conditionalFormatting>
  <conditionalFormatting sqref="N79">
    <cfRule type="cellIs" dxfId="899" priority="607" operator="notEqual">
      <formula>ROUND(E83/F83*100,1)</formula>
    </cfRule>
  </conditionalFormatting>
  <conditionalFormatting sqref="O79">
    <cfRule type="cellIs" dxfId="898" priority="608" operator="notEqual">
      <formula>ROUND(G83/H83*100,1)</formula>
    </cfRule>
  </conditionalFormatting>
  <conditionalFormatting sqref="P79">
    <cfRule type="cellIs" dxfId="897" priority="609" operator="notEqual">
      <formula>ROUND(SUM(P85:P86),1)</formula>
    </cfRule>
  </conditionalFormatting>
  <conditionalFormatting sqref="Q79">
    <cfRule type="cellIs" dxfId="896" priority="610" operator="notEqual">
      <formula>ROUND(SUM(Q85:Q86),1)</formula>
    </cfRule>
  </conditionalFormatting>
  <conditionalFormatting sqref="I81">
    <cfRule type="cellIs" dxfId="895" priority="611" operator="notEqual">
      <formula>ROUND(G85/G8*100,1)</formula>
    </cfRule>
  </conditionalFormatting>
  <conditionalFormatting sqref="J81">
    <cfRule type="cellIs" dxfId="894" priority="612" operator="notEqual">
      <formula>ROUND(H85/H8*100,1)</formula>
    </cfRule>
  </conditionalFormatting>
  <conditionalFormatting sqref="K81">
    <cfRule type="cellIs" dxfId="893" priority="613" operator="notEqual">
      <formula>ROUND(G85/E85*100,1)</formula>
    </cfRule>
  </conditionalFormatting>
  <conditionalFormatting sqref="L81">
    <cfRule type="cellIs" dxfId="892" priority="614" operator="notEqual">
      <formula>ROUND(H85/F85*100,1)</formula>
    </cfRule>
  </conditionalFormatting>
  <conditionalFormatting sqref="M81">
    <cfRule type="cellIs" dxfId="891" priority="615" operator="notEqual">
      <formula>ROUND(K85/L85*100,1)</formula>
    </cfRule>
  </conditionalFormatting>
  <conditionalFormatting sqref="N81">
    <cfRule type="cellIs" dxfId="890" priority="616" operator="notEqual">
      <formula>ROUND(E85/F85*100,1)</formula>
    </cfRule>
  </conditionalFormatting>
  <conditionalFormatting sqref="O81">
    <cfRule type="cellIs" dxfId="889" priority="617" operator="notEqual">
      <formula>ROUND(G85/H85*100,1)</formula>
    </cfRule>
  </conditionalFormatting>
  <conditionalFormatting sqref="P81">
    <cfRule type="cellIs" dxfId="888" priority="618" operator="notEqual">
      <formula>ROUND(E85/E83*100,1)</formula>
    </cfRule>
  </conditionalFormatting>
  <conditionalFormatting sqref="Q81">
    <cfRule type="cellIs" dxfId="887" priority="619" operator="notEqual">
      <formula>ROUND(F85/F83*100,1)</formula>
    </cfRule>
  </conditionalFormatting>
  <conditionalFormatting sqref="R81">
    <cfRule type="cellIs" dxfId="886" priority="620" operator="notEqual">
      <formula>ROUND(K85/K86*100,1)</formula>
    </cfRule>
  </conditionalFormatting>
  <conditionalFormatting sqref="S81">
    <cfRule type="cellIs" dxfId="885" priority="621" operator="notEqual">
      <formula>ROUND(L85/L86*100,1)</formula>
    </cfRule>
  </conditionalFormatting>
  <conditionalFormatting sqref="I82">
    <cfRule type="cellIs" dxfId="884" priority="622" operator="notEqual">
      <formula>ROUND(G86/G9*100,1)</formula>
    </cfRule>
  </conditionalFormatting>
  <conditionalFormatting sqref="J82">
    <cfRule type="cellIs" dxfId="883" priority="623" operator="notEqual">
      <formula>ROUND(H86/H9*100,1)</formula>
    </cfRule>
  </conditionalFormatting>
  <conditionalFormatting sqref="K82">
    <cfRule type="cellIs" dxfId="882" priority="624" operator="notEqual">
      <formula>ROUND(G86/E86,1)</formula>
    </cfRule>
  </conditionalFormatting>
  <conditionalFormatting sqref="L82">
    <cfRule type="cellIs" dxfId="881" priority="625" operator="notEqual">
      <formula>ROUND(H86/F86,1)</formula>
    </cfRule>
  </conditionalFormatting>
  <conditionalFormatting sqref="M82">
    <cfRule type="cellIs" dxfId="880" priority="626" operator="notEqual">
      <formula>ROUND(K86/L86*100,1)</formula>
    </cfRule>
  </conditionalFormatting>
  <conditionalFormatting sqref="N82">
    <cfRule type="cellIs" dxfId="879" priority="627" operator="notEqual">
      <formula>ROUND(E86/F86*100,1)</formula>
    </cfRule>
  </conditionalFormatting>
  <conditionalFormatting sqref="O82">
    <cfRule type="cellIs" dxfId="878" priority="628" operator="notEqual">
      <formula>ROUND(G86/H86*100,1)</formula>
    </cfRule>
  </conditionalFormatting>
  <conditionalFormatting sqref="P82">
    <cfRule type="cellIs" dxfId="877" priority="629" operator="notEqual">
      <formula>ROUND(E86/E83*100,1)</formula>
    </cfRule>
  </conditionalFormatting>
  <conditionalFormatting sqref="Q82">
    <cfRule type="cellIs" dxfId="876" priority="630" operator="notEqual">
      <formula>ROUND(F86/F83*100,1)</formula>
    </cfRule>
  </conditionalFormatting>
  <conditionalFormatting sqref="R82">
    <cfRule type="cellIs" dxfId="875" priority="631" operator="notEqual">
      <formula>ROUND(K86/K85*100,1)</formula>
    </cfRule>
  </conditionalFormatting>
  <conditionalFormatting sqref="S82">
    <cfRule type="cellIs" dxfId="874" priority="632" operator="notEqual">
      <formula>ROUND(L86/L85*100,1)</formula>
    </cfRule>
  </conditionalFormatting>
  <conditionalFormatting sqref="E83">
    <cfRule type="cellIs" dxfId="873" priority="633" operator="notEqual">
      <formula>ROUND(SUM(E89:E90),1)</formula>
    </cfRule>
  </conditionalFormatting>
  <conditionalFormatting sqref="F83">
    <cfRule type="cellIs" dxfId="872" priority="634" operator="notEqual">
      <formula>ROUND(SUM(F89:F90),1)</formula>
    </cfRule>
  </conditionalFormatting>
  <conditionalFormatting sqref="G83">
    <cfRule type="cellIs" dxfId="871" priority="635" operator="notEqual">
      <formula>ROUND(SUM(G89:G90),1)</formula>
    </cfRule>
  </conditionalFormatting>
  <conditionalFormatting sqref="H83">
    <cfRule type="cellIs" dxfId="870" priority="636" operator="notEqual">
      <formula>ROUND(SUM(H89:H90),1)</formula>
    </cfRule>
  </conditionalFormatting>
  <conditionalFormatting sqref="I83">
    <cfRule type="cellIs" dxfId="869" priority="637" operator="notEqual">
      <formula>ROUND(G87/G6*100,1)</formula>
    </cfRule>
  </conditionalFormatting>
  <conditionalFormatting sqref="J83">
    <cfRule type="cellIs" dxfId="868" priority="638" operator="notEqual">
      <formula>ROUND(H87/H6*100,1)</formula>
    </cfRule>
  </conditionalFormatting>
  <conditionalFormatting sqref="K83">
    <cfRule type="cellIs" dxfId="867" priority="639" operator="notEqual">
      <formula>ROUND(G87/E87,1)</formula>
    </cfRule>
  </conditionalFormatting>
  <conditionalFormatting sqref="L83">
    <cfRule type="cellIs" dxfId="866" priority="640" operator="notEqual">
      <formula>ROUND(H87/F87,1)</formula>
    </cfRule>
  </conditionalFormatting>
  <conditionalFormatting sqref="M83">
    <cfRule type="cellIs" dxfId="865" priority="641" operator="notEqual">
      <formula>ROUND(K87/L87*100,1)</formula>
    </cfRule>
  </conditionalFormatting>
  <conditionalFormatting sqref="N83">
    <cfRule type="cellIs" dxfId="864" priority="642" operator="notEqual">
      <formula>ROUND(E87/F87*100,1)</formula>
    </cfRule>
  </conditionalFormatting>
  <conditionalFormatting sqref="O83">
    <cfRule type="cellIs" dxfId="863" priority="643" operator="notEqual">
      <formula>ROUND(G87/H87*100,1)</formula>
    </cfRule>
  </conditionalFormatting>
  <conditionalFormatting sqref="P83">
    <cfRule type="cellIs" dxfId="862" priority="644" operator="notEqual">
      <formula>ROUND(SUM(P89:P90),1)</formula>
    </cfRule>
  </conditionalFormatting>
  <conditionalFormatting sqref="Q83">
    <cfRule type="cellIs" dxfId="861" priority="645" operator="notEqual">
      <formula>ROUND(SUM(Q89:Q90),1)</formula>
    </cfRule>
  </conditionalFormatting>
  <conditionalFormatting sqref="I85">
    <cfRule type="cellIs" dxfId="860" priority="646" operator="notEqual">
      <formula>ROUND(G89/G8*100,1)</formula>
    </cfRule>
  </conditionalFormatting>
  <conditionalFormatting sqref="J85">
    <cfRule type="cellIs" dxfId="859" priority="647" operator="notEqual">
      <formula>ROUND(H89/H8*100,1)</formula>
    </cfRule>
  </conditionalFormatting>
  <conditionalFormatting sqref="K85">
    <cfRule type="cellIs" dxfId="858" priority="648" operator="notEqual">
      <formula>ROUND(G89/E89,1)</formula>
    </cfRule>
  </conditionalFormatting>
  <conditionalFormatting sqref="L85">
    <cfRule type="cellIs" dxfId="857" priority="649" operator="notEqual">
      <formula>ROUND(H89/F89,1)</formula>
    </cfRule>
  </conditionalFormatting>
  <conditionalFormatting sqref="M85">
    <cfRule type="cellIs" dxfId="856" priority="650" operator="notEqual">
      <formula>ROUND(K89/L89*100,1)</formula>
    </cfRule>
  </conditionalFormatting>
  <conditionalFormatting sqref="N85">
    <cfRule type="cellIs" dxfId="855" priority="651" operator="notEqual">
      <formula>ROUND(E89/F89*100,1)</formula>
    </cfRule>
  </conditionalFormatting>
  <conditionalFormatting sqref="O85">
    <cfRule type="cellIs" dxfId="854" priority="652" operator="notEqual">
      <formula>ROUND(G89/H89*100,1)</formula>
    </cfRule>
  </conditionalFormatting>
  <conditionalFormatting sqref="P85">
    <cfRule type="cellIs" dxfId="853" priority="653" operator="notEqual">
      <formula>ROUND(E89/E87*100,1)</formula>
    </cfRule>
  </conditionalFormatting>
  <conditionalFormatting sqref="Q85">
    <cfRule type="cellIs" dxfId="852" priority="654" operator="notEqual">
      <formula>ROUND(F89/F87*100,1)</formula>
    </cfRule>
  </conditionalFormatting>
  <conditionalFormatting sqref="R85">
    <cfRule type="cellIs" dxfId="851" priority="655" operator="notEqual">
      <formula>ROUND(K89/K90*100,1)</formula>
    </cfRule>
  </conditionalFormatting>
  <conditionalFormatting sqref="S85">
    <cfRule type="cellIs" dxfId="850" priority="656" operator="notEqual">
      <formula>ROUND(L89/L90*100,1)</formula>
    </cfRule>
  </conditionalFormatting>
  <conditionalFormatting sqref="I86">
    <cfRule type="cellIs" dxfId="849" priority="657" operator="notEqual">
      <formula>ROUND(G90/G9*100,1)</formula>
    </cfRule>
  </conditionalFormatting>
  <conditionalFormatting sqref="J86">
    <cfRule type="cellIs" dxfId="848" priority="658" operator="notEqual">
      <formula>ROUND(H90/H9*100,1)</formula>
    </cfRule>
  </conditionalFormatting>
  <conditionalFormatting sqref="K86">
    <cfRule type="cellIs" dxfId="847" priority="659" operator="notEqual">
      <formula>ROUND(G90/E90,1)</formula>
    </cfRule>
  </conditionalFormatting>
  <conditionalFormatting sqref="L86">
    <cfRule type="cellIs" dxfId="846" priority="660" operator="notEqual">
      <formula>ROUND(H90/F90,1)</formula>
    </cfRule>
  </conditionalFormatting>
  <conditionalFormatting sqref="M86">
    <cfRule type="cellIs" dxfId="845" priority="661" operator="notEqual">
      <formula>ROUND(K90/L90*100,1)</formula>
    </cfRule>
  </conditionalFormatting>
  <conditionalFormatting sqref="N86">
    <cfRule type="cellIs" dxfId="844" priority="662" operator="notEqual">
      <formula>ROUND(E90/F90*100,1)</formula>
    </cfRule>
  </conditionalFormatting>
  <conditionalFormatting sqref="O86">
    <cfRule type="cellIs" dxfId="843" priority="663" operator="notEqual">
      <formula>ROUND(G90/H90*100,1)</formula>
    </cfRule>
  </conditionalFormatting>
  <conditionalFormatting sqref="P86">
    <cfRule type="cellIs" dxfId="842" priority="664" operator="notEqual">
      <formula>ROUND(E90/E87*100,1)</formula>
    </cfRule>
  </conditionalFormatting>
  <conditionalFormatting sqref="Q86">
    <cfRule type="cellIs" dxfId="841" priority="665" operator="notEqual">
      <formula>ROUND(F90/F87*100,1)</formula>
    </cfRule>
  </conditionalFormatting>
  <conditionalFormatting sqref="R86">
    <cfRule type="cellIs" dxfId="840" priority="666" operator="notEqual">
      <formula>ROUND(K90/K89*100,1)</formula>
    </cfRule>
  </conditionalFormatting>
  <conditionalFormatting sqref="S86">
    <cfRule type="cellIs" dxfId="839" priority="667" operator="notEqual">
      <formula>ROUND(L90/L89*100,1)</formula>
    </cfRule>
  </conditionalFormatting>
  <conditionalFormatting sqref="E87">
    <cfRule type="cellIs" dxfId="838" priority="668" operator="notEqual">
      <formula>ROUND(SUM(E93:E94),1)</formula>
    </cfRule>
  </conditionalFormatting>
  <conditionalFormatting sqref="F87">
    <cfRule type="cellIs" dxfId="837" priority="669" operator="notEqual">
      <formula>ROUND(SUM(F93:F94),1)</formula>
    </cfRule>
  </conditionalFormatting>
  <conditionalFormatting sqref="G87">
    <cfRule type="cellIs" dxfId="836" priority="670" operator="notEqual">
      <formula>ROUND(SUM(G93:G94),1)</formula>
    </cfRule>
  </conditionalFormatting>
  <conditionalFormatting sqref="H87">
    <cfRule type="cellIs" dxfId="835" priority="671" operator="notEqual">
      <formula>ROUND(SUM(H93:H94),1)</formula>
    </cfRule>
  </conditionalFormatting>
  <conditionalFormatting sqref="I87">
    <cfRule type="cellIs" dxfId="834" priority="672" operator="notEqual">
      <formula>ROUND(G91/G6*100,1)</formula>
    </cfRule>
  </conditionalFormatting>
  <conditionalFormatting sqref="J87">
    <cfRule type="cellIs" dxfId="833" priority="673" operator="notEqual">
      <formula>ROUND(H91/H6*100,1)</formula>
    </cfRule>
  </conditionalFormatting>
  <conditionalFormatting sqref="K87">
    <cfRule type="cellIs" dxfId="832" priority="674" operator="notEqual">
      <formula>ROUND(G91/E91,1)</formula>
    </cfRule>
  </conditionalFormatting>
  <conditionalFormatting sqref="L87">
    <cfRule type="cellIs" dxfId="831" priority="675" operator="notEqual">
      <formula>ROUND(H91/F91,1)</formula>
    </cfRule>
  </conditionalFormatting>
  <conditionalFormatting sqref="M87">
    <cfRule type="cellIs" dxfId="830" priority="676" operator="notEqual">
      <formula>ROUND(K91/L91*100,1)</formula>
    </cfRule>
  </conditionalFormatting>
  <conditionalFormatting sqref="N87">
    <cfRule type="cellIs" dxfId="829" priority="677" operator="notEqual">
      <formula>ROUND(E91/F91*100,1)</formula>
    </cfRule>
  </conditionalFormatting>
  <conditionalFormatting sqref="O87">
    <cfRule type="cellIs" dxfId="828" priority="678" operator="notEqual">
      <formula>ROUND(G91/H91*100,1)</formula>
    </cfRule>
  </conditionalFormatting>
  <conditionalFormatting sqref="P87">
    <cfRule type="cellIs" dxfId="827" priority="679" operator="notEqual">
      <formula>ROUND(SUM(P93:P94),1)</formula>
    </cfRule>
  </conditionalFormatting>
  <conditionalFormatting sqref="Q87">
    <cfRule type="cellIs" dxfId="826" priority="680" operator="notEqual">
      <formula>ROUND(SUM(Q93:Q94),1)</formula>
    </cfRule>
  </conditionalFormatting>
  <conditionalFormatting sqref="I89">
    <cfRule type="cellIs" dxfId="825" priority="681" operator="notEqual">
      <formula>ROUND(G93/G8*100,1)</formula>
    </cfRule>
  </conditionalFormatting>
  <conditionalFormatting sqref="J89">
    <cfRule type="cellIs" dxfId="824" priority="682" operator="notEqual">
      <formula>ROUND(H93/H8*100,1)</formula>
    </cfRule>
  </conditionalFormatting>
  <conditionalFormatting sqref="K89">
    <cfRule type="cellIs" dxfId="823" priority="683" operator="notEqual">
      <formula>ROUND(G93/E93,1)</formula>
    </cfRule>
  </conditionalFormatting>
  <conditionalFormatting sqref="L89">
    <cfRule type="cellIs" dxfId="822" priority="684" operator="notEqual">
      <formula>ROUND(H93/F93,1)</formula>
    </cfRule>
  </conditionalFormatting>
  <conditionalFormatting sqref="M89">
    <cfRule type="cellIs" dxfId="821" priority="685" operator="notEqual">
      <formula>ROUND(K93/L93*100,1)</formula>
    </cfRule>
  </conditionalFormatting>
  <conditionalFormatting sqref="N89">
    <cfRule type="cellIs" dxfId="820" priority="686" operator="notEqual">
      <formula>ROUND(E93/F93*100,1)</formula>
    </cfRule>
  </conditionalFormatting>
  <conditionalFormatting sqref="O89">
    <cfRule type="cellIs" dxfId="819" priority="687" operator="notEqual">
      <formula>ROUND(G93/H93*100,1)</formula>
    </cfRule>
  </conditionalFormatting>
  <conditionalFormatting sqref="P89">
    <cfRule type="cellIs" dxfId="818" priority="688" operator="notEqual">
      <formula>ROUND(E93/E91*100,1)</formula>
    </cfRule>
  </conditionalFormatting>
  <conditionalFormatting sqref="Q89">
    <cfRule type="cellIs" dxfId="817" priority="689" operator="notEqual">
      <formula>ROUND(F93/F91*100,1)</formula>
    </cfRule>
  </conditionalFormatting>
  <conditionalFormatting sqref="R89">
    <cfRule type="cellIs" dxfId="816" priority="690" operator="notEqual">
      <formula>ROUND(K93/K94*100,1)</formula>
    </cfRule>
  </conditionalFormatting>
  <conditionalFormatting sqref="S89">
    <cfRule type="cellIs" dxfId="815" priority="691" operator="notEqual">
      <formula>ROUND(L93/L94*100,1)</formula>
    </cfRule>
  </conditionalFormatting>
  <conditionalFormatting sqref="I90">
    <cfRule type="cellIs" dxfId="814" priority="692" operator="notEqual">
      <formula>ROUND(G94/G9*100,1)</formula>
    </cfRule>
  </conditionalFormatting>
  <conditionalFormatting sqref="J90">
    <cfRule type="cellIs" dxfId="813" priority="693" operator="notEqual">
      <formula>ROUND(H94/H9*100,1)</formula>
    </cfRule>
  </conditionalFormatting>
  <conditionalFormatting sqref="K90">
    <cfRule type="cellIs" dxfId="812" priority="694" operator="notEqual">
      <formula>ROUND(G94/E94,1)</formula>
    </cfRule>
  </conditionalFormatting>
  <conditionalFormatting sqref="L90">
    <cfRule type="cellIs" dxfId="811" priority="695" operator="notEqual">
      <formula>ROUND(H94/F94,1)</formula>
    </cfRule>
  </conditionalFormatting>
  <conditionalFormatting sqref="M90">
    <cfRule type="cellIs" dxfId="810" priority="696" operator="notEqual">
      <formula>ROUND(K94/L94*100,1)</formula>
    </cfRule>
  </conditionalFormatting>
  <conditionalFormatting sqref="N90">
    <cfRule type="cellIs" dxfId="809" priority="697" operator="notEqual">
      <formula>ROUND(E94/F94*100,1)</formula>
    </cfRule>
  </conditionalFormatting>
  <conditionalFormatting sqref="O90">
    <cfRule type="cellIs" dxfId="808" priority="698" operator="notEqual">
      <formula>ROUND(G94/H94*100,1)</formula>
    </cfRule>
  </conditionalFormatting>
  <conditionalFormatting sqref="P90">
    <cfRule type="cellIs" dxfId="807" priority="699" operator="notEqual">
      <formula>ROUND(E94/E91*100,1)</formula>
    </cfRule>
  </conditionalFormatting>
  <conditionalFormatting sqref="Q90">
    <cfRule type="cellIs" dxfId="806" priority="700" operator="notEqual">
      <formula>ROUND(F94/F91*100,1)</formula>
    </cfRule>
  </conditionalFormatting>
  <conditionalFormatting sqref="R90">
    <cfRule type="cellIs" dxfId="805" priority="701" operator="notEqual">
      <formula>ROUND(K94/K93*100,1)</formula>
    </cfRule>
  </conditionalFormatting>
  <conditionalFormatting sqref="S90">
    <cfRule type="cellIs" dxfId="804" priority="702" operator="notEqual">
      <formula>ROUND(L94/L93*100,1)</formula>
    </cfRule>
  </conditionalFormatting>
  <conditionalFormatting sqref="E91">
    <cfRule type="cellIs" dxfId="803" priority="703" operator="notEqual">
      <formula>ROUND(SUM(E97:E98),1)</formula>
    </cfRule>
  </conditionalFormatting>
  <conditionalFormatting sqref="F91">
    <cfRule type="cellIs" dxfId="802" priority="704" operator="notEqual">
      <formula>ROUND(SUM(F97:F98),1)</formula>
    </cfRule>
  </conditionalFormatting>
  <conditionalFormatting sqref="G91">
    <cfRule type="cellIs" dxfId="801" priority="705" operator="notEqual">
      <formula>ROUND(SUM(G97:G98),1)</formula>
    </cfRule>
  </conditionalFormatting>
  <conditionalFormatting sqref="H91">
    <cfRule type="cellIs" dxfId="800" priority="706" operator="notEqual">
      <formula>ROUND(SUM(H97:H98),1)</formula>
    </cfRule>
  </conditionalFormatting>
  <conditionalFormatting sqref="I91">
    <cfRule type="cellIs" dxfId="799" priority="707" operator="notEqual">
      <formula>ROUND(G97/G6*100,1)</formula>
    </cfRule>
  </conditionalFormatting>
  <conditionalFormatting sqref="J91">
    <cfRule type="cellIs" dxfId="798" priority="708" operator="notEqual">
      <formula>ROUND(H97/H6*100,1)</formula>
    </cfRule>
  </conditionalFormatting>
  <conditionalFormatting sqref="K91">
    <cfRule type="cellIs" dxfId="797" priority="709" operator="notEqual">
      <formula>ROUND(G95/E95,1)</formula>
    </cfRule>
  </conditionalFormatting>
  <conditionalFormatting sqref="L91">
    <cfRule type="cellIs" dxfId="796" priority="710" operator="notEqual">
      <formula>ROUND(H95/F95*100,1)</formula>
    </cfRule>
  </conditionalFormatting>
  <conditionalFormatting sqref="M91">
    <cfRule type="cellIs" dxfId="795" priority="711" operator="notEqual">
      <formula>ROUND(K95/L95*100,1)</formula>
    </cfRule>
  </conditionalFormatting>
  <conditionalFormatting sqref="N91">
    <cfRule type="cellIs" dxfId="794" priority="712" operator="notEqual">
      <formula>ROUND(E95/F95*100,1)</formula>
    </cfRule>
  </conditionalFormatting>
  <conditionalFormatting sqref="O91">
    <cfRule type="cellIs" dxfId="793" priority="713" operator="notEqual">
      <formula>ROUND(G95/H95*100,1)</formula>
    </cfRule>
  </conditionalFormatting>
  <conditionalFormatting sqref="P91">
    <cfRule type="cellIs" dxfId="792" priority="714" operator="notEqual">
      <formula>ROUND(SUM(P97:P98),1)</formula>
    </cfRule>
  </conditionalFormatting>
  <conditionalFormatting sqref="Q91">
    <cfRule type="cellIs" dxfId="791" priority="715" operator="notEqual">
      <formula>ROUND(SUM(Q97:Q98),1)</formula>
    </cfRule>
  </conditionalFormatting>
  <conditionalFormatting sqref="I93">
    <cfRule type="cellIs" dxfId="790" priority="716" operator="notEqual">
      <formula>ROUND(G97/G8*100,1)</formula>
    </cfRule>
  </conditionalFormatting>
  <conditionalFormatting sqref="J93">
    <cfRule type="cellIs" dxfId="789" priority="717" operator="notEqual">
      <formula>ROUND(H97/H8*100,1)</formula>
    </cfRule>
  </conditionalFormatting>
  <conditionalFormatting sqref="K93">
    <cfRule type="cellIs" dxfId="788" priority="718" operator="notEqual">
      <formula>ROUND(G97/E97,1)</formula>
    </cfRule>
  </conditionalFormatting>
  <conditionalFormatting sqref="L93">
    <cfRule type="cellIs" dxfId="787" priority="719" operator="notEqual">
      <formula>ROUND(H97/F97,1)</formula>
    </cfRule>
  </conditionalFormatting>
  <conditionalFormatting sqref="M93">
    <cfRule type="cellIs" dxfId="786" priority="720" operator="notEqual">
      <formula>ROUND(K97/L97*100,1)</formula>
    </cfRule>
  </conditionalFormatting>
  <conditionalFormatting sqref="N93">
    <cfRule type="cellIs" dxfId="785" priority="721" operator="notEqual">
      <formula>ROUND(E97/F97*100,1)</formula>
    </cfRule>
  </conditionalFormatting>
  <conditionalFormatting sqref="O93">
    <cfRule type="cellIs" dxfId="784" priority="722" operator="notEqual">
      <formula>ROUND(G97/H97*100,1)</formula>
    </cfRule>
  </conditionalFormatting>
  <conditionalFormatting sqref="P93">
    <cfRule type="cellIs" dxfId="783" priority="723" operator="notEqual">
      <formula>ROUND(E97/E95*100,1)</formula>
    </cfRule>
  </conditionalFormatting>
  <conditionalFormatting sqref="Q93">
    <cfRule type="cellIs" dxfId="782" priority="724" operator="notEqual">
      <formula>ROUND(F97/F95*100,1)</formula>
    </cfRule>
  </conditionalFormatting>
  <conditionalFormatting sqref="R93">
    <cfRule type="cellIs" dxfId="781" priority="725" operator="notEqual">
      <formula>ROUND(K97/K98*100,1)</formula>
    </cfRule>
  </conditionalFormatting>
  <conditionalFormatting sqref="S93">
    <cfRule type="cellIs" dxfId="780" priority="726" operator="notEqual">
      <formula>ROUND(L97/L98*100,1)</formula>
    </cfRule>
  </conditionalFormatting>
  <conditionalFormatting sqref="I94">
    <cfRule type="cellIs" dxfId="779" priority="727" operator="notEqual">
      <formula>ROUND(G98/G9*100,1)</formula>
    </cfRule>
  </conditionalFormatting>
  <conditionalFormatting sqref="J94">
    <cfRule type="cellIs" dxfId="778" priority="728" operator="notEqual">
      <formula>ROUND(H98/H9*100,1)</formula>
    </cfRule>
  </conditionalFormatting>
  <conditionalFormatting sqref="K94">
    <cfRule type="cellIs" dxfId="777" priority="729" operator="notEqual">
      <formula>ROUND(G98/E98,1)</formula>
    </cfRule>
  </conditionalFormatting>
  <conditionalFormatting sqref="L94">
    <cfRule type="cellIs" dxfId="776" priority="730" operator="notEqual">
      <formula>ROUND(H98/F98,1)</formula>
    </cfRule>
  </conditionalFormatting>
  <conditionalFormatting sqref="M94">
    <cfRule type="cellIs" dxfId="775" priority="731" operator="notEqual">
      <formula>ROUND(K98/L98*100,1)</formula>
    </cfRule>
  </conditionalFormatting>
  <conditionalFormatting sqref="N94">
    <cfRule type="cellIs" dxfId="774" priority="732" operator="notEqual">
      <formula>ROUND(E98/F98*100,1)</formula>
    </cfRule>
  </conditionalFormatting>
  <conditionalFormatting sqref="O94">
    <cfRule type="cellIs" dxfId="773" priority="733" operator="notEqual">
      <formula>ROUND(G98/H98*100,1)</formula>
    </cfRule>
  </conditionalFormatting>
  <conditionalFormatting sqref="P94">
    <cfRule type="cellIs" dxfId="772" priority="734" operator="notEqual">
      <formula>ROUND(E98/E95*100,1)</formula>
    </cfRule>
  </conditionalFormatting>
  <conditionalFormatting sqref="Q94">
    <cfRule type="cellIs" dxfId="771" priority="735" operator="notEqual">
      <formula>ROUND(E98/E95*100,1)</formula>
    </cfRule>
  </conditionalFormatting>
  <conditionalFormatting sqref="R94">
    <cfRule type="cellIs" dxfId="770" priority="736" operator="notEqual">
      <formula>ROUND(K98/K97*100,1)</formula>
    </cfRule>
  </conditionalFormatting>
  <conditionalFormatting sqref="S94">
    <cfRule type="cellIs" dxfId="769" priority="737" operator="notEqual">
      <formula>ROUND(L98/L97*100,1)</formula>
    </cfRule>
  </conditionalFormatting>
  <conditionalFormatting sqref="E95">
    <cfRule type="cellIs" dxfId="768" priority="738" operator="notEqual">
      <formula>ROUND(SUM(E101:E102),1)</formula>
    </cfRule>
  </conditionalFormatting>
  <conditionalFormatting sqref="F95">
    <cfRule type="cellIs" dxfId="767" priority="739" operator="notEqual">
      <formula>ROUND(SUM(F101:F102),1)</formula>
    </cfRule>
  </conditionalFormatting>
  <conditionalFormatting sqref="G95">
    <cfRule type="cellIs" dxfId="766" priority="740" operator="notEqual">
      <formula>ROUND(SUM(G101:G102),1)</formula>
    </cfRule>
  </conditionalFormatting>
  <conditionalFormatting sqref="H95">
    <cfRule type="cellIs" dxfId="765" priority="741" operator="notEqual">
      <formula>ROUND(SUM(H101:H102),1)</formula>
    </cfRule>
  </conditionalFormatting>
  <conditionalFormatting sqref="I95">
    <cfRule type="cellIs" dxfId="764" priority="742" operator="notEqual">
      <formula>ROUND(G101/G6*100,1)</formula>
    </cfRule>
  </conditionalFormatting>
  <conditionalFormatting sqref="J95">
    <cfRule type="cellIs" dxfId="763" priority="743" operator="notEqual">
      <formula>ROUND(H101/H6*100,1)</formula>
    </cfRule>
  </conditionalFormatting>
  <conditionalFormatting sqref="K95">
    <cfRule type="cellIs" dxfId="762" priority="744" operator="notEqual">
      <formula>ROUND(G99/E99*1000,1)</formula>
    </cfRule>
  </conditionalFormatting>
  <conditionalFormatting sqref="L95">
    <cfRule type="cellIs" dxfId="761" priority="745" operator="notEqual">
      <formula>ROUND(H99/F99*1000,1)</formula>
    </cfRule>
  </conditionalFormatting>
  <conditionalFormatting sqref="M95">
    <cfRule type="cellIs" dxfId="760" priority="746" operator="notEqual">
      <formula>ROUND(K99/L99*100,1)</formula>
    </cfRule>
  </conditionalFormatting>
  <conditionalFormatting sqref="N95">
    <cfRule type="cellIs" dxfId="759" priority="747" operator="notEqual">
      <formula>ROUND(E99/F99*100,1)</formula>
    </cfRule>
  </conditionalFormatting>
  <conditionalFormatting sqref="O95">
    <cfRule type="cellIs" dxfId="758" priority="748" operator="notEqual">
      <formula>ROUND(G99/H99*100,1)</formula>
    </cfRule>
  </conditionalFormatting>
  <conditionalFormatting sqref="P95">
    <cfRule type="cellIs" dxfId="757" priority="749" operator="notEqual">
      <formula>ROUND(SUM(P101:P102),1)</formula>
    </cfRule>
  </conditionalFormatting>
  <conditionalFormatting sqref="Q95">
    <cfRule type="cellIs" dxfId="756" priority="750" operator="notEqual">
      <formula>ROUND(SUM(Q101:Q102),1)</formula>
    </cfRule>
  </conditionalFormatting>
  <conditionalFormatting sqref="I97">
    <cfRule type="cellIs" dxfId="755" priority="751" operator="notEqual">
      <formula>ROUND(G101/G8*100,1)</formula>
    </cfRule>
  </conditionalFormatting>
  <conditionalFormatting sqref="J97">
    <cfRule type="cellIs" dxfId="754" priority="752" operator="notEqual">
      <formula>ROUND(H101/H8*100,1)</formula>
    </cfRule>
  </conditionalFormatting>
  <conditionalFormatting sqref="K97">
    <cfRule type="cellIs" dxfId="753" priority="753" operator="notEqual">
      <formula>ROUND(G101/E101*1000,1)</formula>
    </cfRule>
  </conditionalFormatting>
  <conditionalFormatting sqref="L97">
    <cfRule type="cellIs" dxfId="752" priority="754" operator="notEqual">
      <formula>ROUND(H101/F101*1000,1)</formula>
    </cfRule>
  </conditionalFormatting>
  <conditionalFormatting sqref="M97">
    <cfRule type="cellIs" dxfId="751" priority="755" operator="notEqual">
      <formula>ROUND(K101/L101*100,1)</formula>
    </cfRule>
  </conditionalFormatting>
  <conditionalFormatting sqref="N97">
    <cfRule type="cellIs" dxfId="750" priority="756" operator="notEqual">
      <formula>ROUND(E101/F101*100,1)</formula>
    </cfRule>
  </conditionalFormatting>
  <conditionalFormatting sqref="O97">
    <cfRule type="cellIs" dxfId="749" priority="757" operator="notEqual">
      <formula>ROUND(G101/H101*100,1)</formula>
    </cfRule>
  </conditionalFormatting>
  <conditionalFormatting sqref="P97">
    <cfRule type="cellIs" dxfId="748" priority="758" operator="notEqual">
      <formula>ROUND(E101/E99*100,1)</formula>
    </cfRule>
  </conditionalFormatting>
  <conditionalFormatting sqref="Q97">
    <cfRule type="cellIs" dxfId="747" priority="759" operator="notEqual">
      <formula>ROUND(F101/F99*100,1)</formula>
    </cfRule>
  </conditionalFormatting>
  <conditionalFormatting sqref="R97">
    <cfRule type="cellIs" dxfId="746" priority="760" operator="notEqual">
      <formula>ROUND(K101/K102*100,1)</formula>
    </cfRule>
  </conditionalFormatting>
  <conditionalFormatting sqref="S97">
    <cfRule type="cellIs" dxfId="745" priority="761" operator="notEqual">
      <formula>ROUND(L101/L102*100,1)</formula>
    </cfRule>
  </conditionalFormatting>
  <conditionalFormatting sqref="I98">
    <cfRule type="cellIs" dxfId="744" priority="762" operator="notEqual">
      <formula>ROUND(G102/G9*100,1)</formula>
    </cfRule>
  </conditionalFormatting>
  <conditionalFormatting sqref="J98">
    <cfRule type="cellIs" dxfId="743" priority="763" operator="notEqual">
      <formula>ROUND(H102/H9*100,1)</formula>
    </cfRule>
  </conditionalFormatting>
  <conditionalFormatting sqref="K98">
    <cfRule type="cellIs" dxfId="742" priority="764" operator="notEqual">
      <formula>ROUND(G102/E102*1000,1)</formula>
    </cfRule>
  </conditionalFormatting>
  <conditionalFormatting sqref="L98">
    <cfRule type="cellIs" dxfId="741" priority="765" operator="notEqual">
      <formula>ROUND(H102/F102*1000,1)</formula>
    </cfRule>
  </conditionalFormatting>
  <conditionalFormatting sqref="M98">
    <cfRule type="cellIs" dxfId="740" priority="766" operator="notEqual">
      <formula>ROUND(K102/L102*100,1)</formula>
    </cfRule>
  </conditionalFormatting>
  <conditionalFormatting sqref="N98">
    <cfRule type="cellIs" dxfId="739" priority="767" operator="notEqual">
      <formula>ROUND(E102/F102*100,1)</formula>
    </cfRule>
  </conditionalFormatting>
  <conditionalFormatting sqref="O98">
    <cfRule type="cellIs" dxfId="738" priority="768" operator="notEqual">
      <formula>ROUND(G102/H102*100,1)</formula>
    </cfRule>
  </conditionalFormatting>
  <conditionalFormatting sqref="P98">
    <cfRule type="cellIs" dxfId="737" priority="769" operator="notEqual">
      <formula>ROUND(E102/E99*100,1)</formula>
    </cfRule>
  </conditionalFormatting>
  <conditionalFormatting sqref="Q98">
    <cfRule type="cellIs" dxfId="736" priority="770" operator="notEqual">
      <formula>ROUND(F102/F99*100,1)</formula>
    </cfRule>
  </conditionalFormatting>
  <conditionalFormatting sqref="R98">
    <cfRule type="cellIs" dxfId="735" priority="771" operator="notEqual">
      <formula>ROUND(K102/K101*100,1)</formula>
    </cfRule>
  </conditionalFormatting>
  <conditionalFormatting sqref="S98">
    <cfRule type="cellIs" dxfId="734" priority="772" operator="notEqual">
      <formula>ROUND(L102/L101*100,1)</formula>
    </cfRule>
  </conditionalFormatting>
  <conditionalFormatting sqref="E99">
    <cfRule type="cellIs" dxfId="733" priority="773" operator="notEqual">
      <formula>ROUND(SUM(E105:E106),1)</formula>
    </cfRule>
  </conditionalFormatting>
  <conditionalFormatting sqref="F99">
    <cfRule type="cellIs" dxfId="732" priority="774" operator="notEqual">
      <formula>ROUND(SUM(F105:F106),1)</formula>
    </cfRule>
  </conditionalFormatting>
  <conditionalFormatting sqref="G99">
    <cfRule type="cellIs" dxfId="731" priority="775" operator="notEqual">
      <formula>ROUND(SUM(G105:G106),1)</formula>
    </cfRule>
  </conditionalFormatting>
  <conditionalFormatting sqref="H99">
    <cfRule type="cellIs" dxfId="730" priority="776" operator="notEqual">
      <formula>ROUND(SUM(H105:H106),1)</formula>
    </cfRule>
  </conditionalFormatting>
  <conditionalFormatting sqref="I99">
    <cfRule type="cellIs" dxfId="729" priority="777" operator="notEqual">
      <formula>ROUND(G103/G8*100,1)</formula>
    </cfRule>
  </conditionalFormatting>
  <conditionalFormatting sqref="J99">
    <cfRule type="cellIs" dxfId="728" priority="778" operator="notEqual">
      <formula>ROUND(H103/H8*100,1)</formula>
    </cfRule>
  </conditionalFormatting>
  <conditionalFormatting sqref="K99">
    <cfRule type="cellIs" dxfId="727" priority="779" operator="notEqual">
      <formula>ROUND(G103/E103*1000,1)</formula>
    </cfRule>
  </conditionalFormatting>
  <conditionalFormatting sqref="L99">
    <cfRule type="cellIs" dxfId="726" priority="780" operator="notEqual">
      <formula>ROUND(H103/F103*1000,1)</formula>
    </cfRule>
  </conditionalFormatting>
  <conditionalFormatting sqref="M99">
    <cfRule type="cellIs" dxfId="725" priority="781" operator="notEqual">
      <formula>ROUND(K103/L103*100,1)</formula>
    </cfRule>
  </conditionalFormatting>
  <conditionalFormatting sqref="N99">
    <cfRule type="cellIs" dxfId="724" priority="782" operator="notEqual">
      <formula>ROUND(E103/F103*100,1)</formula>
    </cfRule>
  </conditionalFormatting>
  <conditionalFormatting sqref="O99">
    <cfRule type="cellIs" dxfId="723" priority="783" operator="notEqual">
      <formula>ROUND(G103/H103*100,1)</formula>
    </cfRule>
  </conditionalFormatting>
  <conditionalFormatting sqref="P99">
    <cfRule type="cellIs" dxfId="722" priority="784" operator="notEqual">
      <formula>ROUND(SUM(P105:P106),1)</formula>
    </cfRule>
  </conditionalFormatting>
  <conditionalFormatting sqref="Q99">
    <cfRule type="cellIs" dxfId="721" priority="785" operator="notEqual">
      <formula>ROUND(SUM(Q105:Q106),1)</formula>
    </cfRule>
  </conditionalFormatting>
  <conditionalFormatting sqref="I101">
    <cfRule type="cellIs" dxfId="720" priority="786" operator="notEqual">
      <formula>ROUND(G105/G8*100,1)</formula>
    </cfRule>
  </conditionalFormatting>
  <conditionalFormatting sqref="J101">
    <cfRule type="cellIs" dxfId="719" priority="787" operator="notEqual">
      <formula>ROUND(H105/H8*100,1)</formula>
    </cfRule>
  </conditionalFormatting>
  <conditionalFormatting sqref="K101">
    <cfRule type="cellIs" dxfId="718" priority="788" operator="notEqual">
      <formula>ROUND(G105/E105*1000,1)</formula>
    </cfRule>
  </conditionalFormatting>
  <conditionalFormatting sqref="L101">
    <cfRule type="cellIs" dxfId="717" priority="789" operator="notEqual">
      <formula>ROUND(H105/F105*1000,1)</formula>
    </cfRule>
  </conditionalFormatting>
  <conditionalFormatting sqref="M101">
    <cfRule type="cellIs" dxfId="716" priority="790" operator="notEqual">
      <formula>ROUND(K105/L105*100,1)</formula>
    </cfRule>
  </conditionalFormatting>
  <conditionalFormatting sqref="N101">
    <cfRule type="cellIs" dxfId="715" priority="791" operator="notEqual">
      <formula>ROUND(E105/F105*100,1)</formula>
    </cfRule>
  </conditionalFormatting>
  <conditionalFormatting sqref="O101">
    <cfRule type="cellIs" dxfId="714" priority="792" operator="notEqual">
      <formula>ROUND(G105/H105*100,1)</formula>
    </cfRule>
  </conditionalFormatting>
  <conditionalFormatting sqref="P101">
    <cfRule type="cellIs" dxfId="713" priority="793" operator="notEqual">
      <formula>ROUND(E105/E103*100,1)</formula>
    </cfRule>
  </conditionalFormatting>
  <conditionalFormatting sqref="Q101">
    <cfRule type="cellIs" dxfId="712" priority="794" operator="notEqual">
      <formula>ROUND(F105/F103*100,1)</formula>
    </cfRule>
  </conditionalFormatting>
  <conditionalFormatting sqref="R101">
    <cfRule type="cellIs" dxfId="711" priority="795" operator="notEqual">
      <formula>ROUND(K105/K106*100,1)</formula>
    </cfRule>
  </conditionalFormatting>
  <conditionalFormatting sqref="S101">
    <cfRule type="cellIs" dxfId="710" priority="796" operator="notEqual">
      <formula>ROUND(L105/L106*100,1)</formula>
    </cfRule>
  </conditionalFormatting>
  <conditionalFormatting sqref="I102">
    <cfRule type="cellIs" dxfId="709" priority="797" operator="notEqual">
      <formula>ROUND(G106/G9*100,1)</formula>
    </cfRule>
  </conditionalFormatting>
  <conditionalFormatting sqref="J102">
    <cfRule type="cellIs" dxfId="708" priority="798" operator="notEqual">
      <formula>ROUND(H106/H9*100,1)</formula>
    </cfRule>
  </conditionalFormatting>
  <conditionalFormatting sqref="K102">
    <cfRule type="cellIs" dxfId="707" priority="799" operator="notEqual">
      <formula>ROUND(G106/E106*1000,1)</formula>
    </cfRule>
  </conditionalFormatting>
  <conditionalFormatting sqref="L102">
    <cfRule type="cellIs" dxfId="706" priority="800" operator="notEqual">
      <formula>ROUND(H106/F106*1000,1)</formula>
    </cfRule>
  </conditionalFormatting>
  <conditionalFormatting sqref="M102">
    <cfRule type="cellIs" dxfId="705" priority="801" operator="notEqual">
      <formula>ROUND(K106/L106*100,1)</formula>
    </cfRule>
  </conditionalFormatting>
  <conditionalFormatting sqref="N102">
    <cfRule type="cellIs" dxfId="704" priority="802" operator="notEqual">
      <formula>ROUND(E106/F106*100,1)</formula>
    </cfRule>
  </conditionalFormatting>
  <conditionalFormatting sqref="O102">
    <cfRule type="cellIs" dxfId="703" priority="803" operator="notEqual">
      <formula>ROUND(G106/H106*100,1)</formula>
    </cfRule>
  </conditionalFormatting>
  <conditionalFormatting sqref="P102">
    <cfRule type="cellIs" dxfId="702" priority="804" operator="notEqual">
      <formula>ROUND(E106/E103*100,1)</formula>
    </cfRule>
  </conditionalFormatting>
  <conditionalFormatting sqref="Q102">
    <cfRule type="cellIs" dxfId="701" priority="805" operator="notEqual">
      <formula>ROUND(F106/F103*100,1)</formula>
    </cfRule>
  </conditionalFormatting>
  <conditionalFormatting sqref="R102">
    <cfRule type="cellIs" dxfId="700" priority="806" operator="notEqual">
      <formula>ROUND(K106/K105*100,1)</formula>
    </cfRule>
  </conditionalFormatting>
  <conditionalFormatting sqref="S102">
    <cfRule type="cellIs" dxfId="699" priority="807" operator="notEqual">
      <formula>ROUND(L106/L105*100,1)</formula>
    </cfRule>
  </conditionalFormatting>
  <conditionalFormatting sqref="E103">
    <cfRule type="cellIs" dxfId="698" priority="808" operator="notEqual">
      <formula>ROUND(SUM(E109:E110),1)</formula>
    </cfRule>
  </conditionalFormatting>
  <conditionalFormatting sqref="F103">
    <cfRule type="cellIs" dxfId="697" priority="809" operator="notEqual">
      <formula>ROUND(SUM(F109:F110),1)</formula>
    </cfRule>
  </conditionalFormatting>
  <conditionalFormatting sqref="G103">
    <cfRule type="cellIs" dxfId="696" priority="810" operator="notEqual">
      <formula>ROUND(SUM(G109:G110),1)</formula>
    </cfRule>
  </conditionalFormatting>
  <conditionalFormatting sqref="H103">
    <cfRule type="cellIs" dxfId="695" priority="811" operator="notEqual">
      <formula>ROUND(SUM(H109:H110),1)</formula>
    </cfRule>
  </conditionalFormatting>
  <conditionalFormatting sqref="I103">
    <cfRule type="cellIs" dxfId="694" priority="812" operator="notEqual">
      <formula>ROUND(G107/G6,1)</formula>
    </cfRule>
  </conditionalFormatting>
  <conditionalFormatting sqref="J103">
    <cfRule type="cellIs" dxfId="693" priority="813" operator="notEqual">
      <formula>ROUND(H107/H6,1)</formula>
    </cfRule>
  </conditionalFormatting>
  <conditionalFormatting sqref="K103">
    <cfRule type="cellIs" dxfId="692" priority="814" operator="notEqual">
      <formula>ROUND(G107/E107*1000,1)</formula>
    </cfRule>
  </conditionalFormatting>
  <conditionalFormatting sqref="L103">
    <cfRule type="cellIs" dxfId="691" priority="815" operator="notEqual">
      <formula>ROUND(H107/F107*1000,1)</formula>
    </cfRule>
  </conditionalFormatting>
  <conditionalFormatting sqref="M103">
    <cfRule type="cellIs" dxfId="690" priority="816" operator="notEqual">
      <formula>ROUND(K107/L107*100,1)</formula>
    </cfRule>
  </conditionalFormatting>
  <conditionalFormatting sqref="N103">
    <cfRule type="cellIs" dxfId="689" priority="817" operator="notEqual">
      <formula>ROUND(E107/F107*100,1)</formula>
    </cfRule>
  </conditionalFormatting>
  <conditionalFormatting sqref="O103">
    <cfRule type="cellIs" dxfId="688" priority="818" operator="notEqual">
      <formula>ROUND(G107/H107*100,1)</formula>
    </cfRule>
  </conditionalFormatting>
  <conditionalFormatting sqref="P103">
    <cfRule type="cellIs" dxfId="687" priority="819" operator="notEqual">
      <formula>ROUND(SUM(P109:P110),1)</formula>
    </cfRule>
  </conditionalFormatting>
  <conditionalFormatting sqref="Q103">
    <cfRule type="cellIs" dxfId="686" priority="820" operator="notEqual">
      <formula>ROUND(SUM(Q109:Q110),1)</formula>
    </cfRule>
  </conditionalFormatting>
  <conditionalFormatting sqref="I105">
    <cfRule type="cellIs" dxfId="685" priority="821" operator="notEqual">
      <formula>ROUND(G109/G8*100,1)</formula>
    </cfRule>
  </conditionalFormatting>
  <conditionalFormatting sqref="J105">
    <cfRule type="cellIs" dxfId="684" priority="822" operator="notEqual">
      <formula>ROUND(H109/H8*100,1)</formula>
    </cfRule>
  </conditionalFormatting>
  <conditionalFormatting sqref="K105">
    <cfRule type="cellIs" dxfId="683" priority="823" operator="notEqual">
      <formula>ROUND(G109/E109*1000,1)</formula>
    </cfRule>
  </conditionalFormatting>
  <conditionalFormatting sqref="L105">
    <cfRule type="cellIs" dxfId="682" priority="824" operator="notEqual">
      <formula>ROUND(H109/F109*1000,1)</formula>
    </cfRule>
  </conditionalFormatting>
  <conditionalFormatting sqref="M105">
    <cfRule type="cellIs" dxfId="681" priority="825" operator="notEqual">
      <formula>ROUND(K109/L109*100,1)</formula>
    </cfRule>
  </conditionalFormatting>
  <conditionalFormatting sqref="N105">
    <cfRule type="cellIs" dxfId="680" priority="826" operator="notEqual">
      <formula>ROUND(E109/F109*100,1)</formula>
    </cfRule>
  </conditionalFormatting>
  <conditionalFormatting sqref="O105">
    <cfRule type="cellIs" dxfId="679" priority="827" operator="notEqual">
      <formula>ROUND(G109/H109*100,1)</formula>
    </cfRule>
  </conditionalFormatting>
  <conditionalFormatting sqref="P105">
    <cfRule type="cellIs" dxfId="678" priority="828" operator="notEqual">
      <formula>ROUND(E109/E107*100,1)</formula>
    </cfRule>
  </conditionalFormatting>
  <conditionalFormatting sqref="Q105">
    <cfRule type="cellIs" dxfId="677" priority="829" operator="notEqual">
      <formula>ROUND(F109/F107*100,1)</formula>
    </cfRule>
  </conditionalFormatting>
  <conditionalFormatting sqref="R105">
    <cfRule type="cellIs" dxfId="676" priority="830" operator="notEqual">
      <formula>ROUND(K109/K110*100,1)</formula>
    </cfRule>
  </conditionalFormatting>
  <conditionalFormatting sqref="S105">
    <cfRule type="cellIs" dxfId="675" priority="831" operator="notEqual">
      <formula>ROUND(L109/L110*100,1)</formula>
    </cfRule>
  </conditionalFormatting>
  <conditionalFormatting sqref="I106">
    <cfRule type="cellIs" dxfId="674" priority="832" operator="notEqual">
      <formula>ROUND(G110/G9*100,1)</formula>
    </cfRule>
  </conditionalFormatting>
  <conditionalFormatting sqref="J106">
    <cfRule type="cellIs" dxfId="673" priority="833" operator="notEqual">
      <formula>ROUND(H110/H9*100,1)</formula>
    </cfRule>
  </conditionalFormatting>
  <conditionalFormatting sqref="K106">
    <cfRule type="cellIs" dxfId="672" priority="834" operator="notEqual">
      <formula>ROUND(G110/E110*1000,1)</formula>
    </cfRule>
  </conditionalFormatting>
  <conditionalFormatting sqref="L106">
    <cfRule type="cellIs" dxfId="671" priority="835" operator="notEqual">
      <formula>ROUND(H110/F110*1000,1)</formula>
    </cfRule>
  </conditionalFormatting>
  <conditionalFormatting sqref="M106">
    <cfRule type="cellIs" dxfId="670" priority="836" operator="notEqual">
      <formula>ROUND(K110/L110*100,1)</formula>
    </cfRule>
  </conditionalFormatting>
  <conditionalFormatting sqref="N106">
    <cfRule type="cellIs" dxfId="669" priority="837" operator="notEqual">
      <formula>ROUND(E110/F110*100,1)</formula>
    </cfRule>
  </conditionalFormatting>
  <conditionalFormatting sqref="O106">
    <cfRule type="cellIs" dxfId="668" priority="838" operator="notEqual">
      <formula>ROUND(G110/H110*100,1)</formula>
    </cfRule>
  </conditionalFormatting>
  <conditionalFormatting sqref="P106">
    <cfRule type="cellIs" dxfId="667" priority="839" operator="notEqual">
      <formula>ROUND(E110/E107*100,1)</formula>
    </cfRule>
  </conditionalFormatting>
  <conditionalFormatting sqref="Q106">
    <cfRule type="cellIs" dxfId="666" priority="840" operator="notEqual">
      <formula>ROUND(F110/F107*100,1)</formula>
    </cfRule>
  </conditionalFormatting>
  <conditionalFormatting sqref="R106">
    <cfRule type="cellIs" dxfId="665" priority="841" operator="notEqual">
      <formula>ROUND(K110/K109*100,1)</formula>
    </cfRule>
  </conditionalFormatting>
  <conditionalFormatting sqref="S106">
    <cfRule type="cellIs" dxfId="664" priority="842" operator="notEqual">
      <formula>ROUND(L109/L110*100,1)</formula>
    </cfRule>
  </conditionalFormatting>
  <conditionalFormatting sqref="E111">
    <cfRule type="cellIs" dxfId="663" priority="843" operator="notEqual">
      <formula>ROUND(SUM(E117:E118),1)</formula>
    </cfRule>
  </conditionalFormatting>
  <conditionalFormatting sqref="F111">
    <cfRule type="cellIs" dxfId="662" priority="844" operator="notEqual">
      <formula>ROUND(SUM(F117:F118),1)</formula>
    </cfRule>
  </conditionalFormatting>
  <conditionalFormatting sqref="G111">
    <cfRule type="cellIs" dxfId="661" priority="845" operator="notEqual">
      <formula>ROUND(SUM(G117:G118),1)</formula>
    </cfRule>
  </conditionalFormatting>
  <conditionalFormatting sqref="H111">
    <cfRule type="cellIs" dxfId="660" priority="846" operator="notEqual">
      <formula>ROUND(SUM(H117:H118),1)</formula>
    </cfRule>
  </conditionalFormatting>
  <conditionalFormatting sqref="I111">
    <cfRule type="cellIs" dxfId="659" priority="847" operator="notEqual">
      <formula>ROUND(G115/G6*100,1)</formula>
    </cfRule>
  </conditionalFormatting>
  <conditionalFormatting sqref="J111">
    <cfRule type="cellIs" dxfId="658" priority="848" operator="notEqual">
      <formula>ROUND(H115/H6*100,1)</formula>
    </cfRule>
  </conditionalFormatting>
  <conditionalFormatting sqref="K111">
    <cfRule type="cellIs" dxfId="657" priority="849" operator="notEqual">
      <formula>ROUND(G115/E115*1000,1)</formula>
    </cfRule>
  </conditionalFormatting>
  <conditionalFormatting sqref="L111">
    <cfRule type="cellIs" dxfId="656" priority="850" operator="notEqual">
      <formula>ROUND(H115/F115*1000,1)</formula>
    </cfRule>
  </conditionalFormatting>
  <conditionalFormatting sqref="M111">
    <cfRule type="cellIs" dxfId="655" priority="851" operator="notEqual">
      <formula>ROUND(K115/L115*100,1)</formula>
    </cfRule>
  </conditionalFormatting>
  <conditionalFormatting sqref="N111">
    <cfRule type="cellIs" dxfId="654" priority="852" operator="notEqual">
      <formula>ROUND(E115/F115*100,1)</formula>
    </cfRule>
  </conditionalFormatting>
  <conditionalFormatting sqref="O111">
    <cfRule type="cellIs" dxfId="653" priority="853" operator="notEqual">
      <formula>ROUND(G115/H115*100,1)</formula>
    </cfRule>
  </conditionalFormatting>
  <conditionalFormatting sqref="P111">
    <cfRule type="cellIs" dxfId="652" priority="854" operator="notEqual">
      <formula>ROUND(SUM(P117:P118),1)</formula>
    </cfRule>
  </conditionalFormatting>
  <conditionalFormatting sqref="Q111">
    <cfRule type="cellIs" dxfId="651" priority="855" operator="notEqual">
      <formula>ROUND(SUM(Q117:Q118),1)</formula>
    </cfRule>
  </conditionalFormatting>
  <conditionalFormatting sqref="I113">
    <cfRule type="cellIs" dxfId="650" priority="856" operator="notEqual">
      <formula>ROUND(G117/G8*100,1)</formula>
    </cfRule>
  </conditionalFormatting>
  <conditionalFormatting sqref="J113">
    <cfRule type="cellIs" dxfId="649" priority="857" operator="notEqual">
      <formula>ROUND(H117/H8*100,1)</formula>
    </cfRule>
  </conditionalFormatting>
  <conditionalFormatting sqref="K113">
    <cfRule type="cellIs" dxfId="648" priority="858" operator="notEqual">
      <formula>ROUND(G117/E117*1000,1)</formula>
    </cfRule>
  </conditionalFormatting>
  <conditionalFormatting sqref="L113">
    <cfRule type="cellIs" dxfId="647" priority="859" operator="notEqual">
      <formula>ROUND(H117/F117*1000,1)</formula>
    </cfRule>
  </conditionalFormatting>
  <conditionalFormatting sqref="M113">
    <cfRule type="cellIs" dxfId="646" priority="860" operator="notEqual">
      <formula>ROUND(K117/L117*100,1)</formula>
    </cfRule>
  </conditionalFormatting>
  <conditionalFormatting sqref="N113">
    <cfRule type="cellIs" dxfId="645" priority="861" operator="notEqual">
      <formula>ROUND(E117/F117*100,1)</formula>
    </cfRule>
  </conditionalFormatting>
  <conditionalFormatting sqref="O113">
    <cfRule type="cellIs" dxfId="644" priority="862" operator="notEqual">
      <formula>ROUND(G117/H117*100,1)</formula>
    </cfRule>
  </conditionalFormatting>
  <conditionalFormatting sqref="P113">
    <cfRule type="cellIs" dxfId="643" priority="863" operator="notEqual">
      <formula>ROUND(E117/E115*100,1)</formula>
    </cfRule>
  </conditionalFormatting>
  <conditionalFormatting sqref="Q113">
    <cfRule type="cellIs" dxfId="642" priority="864" operator="notEqual">
      <formula>ROUND(F117/F115*100,1)</formula>
    </cfRule>
  </conditionalFormatting>
  <conditionalFormatting sqref="R113">
    <cfRule type="cellIs" dxfId="641" priority="865" operator="notEqual">
      <formula>ROUND(K117/K118*100,1)</formula>
    </cfRule>
  </conditionalFormatting>
  <conditionalFormatting sqref="S113">
    <cfRule type="cellIs" dxfId="640" priority="866" operator="notEqual">
      <formula>ROUND(L117/L118*100,1)</formula>
    </cfRule>
  </conditionalFormatting>
  <conditionalFormatting sqref="I114">
    <cfRule type="cellIs" dxfId="639" priority="867" operator="notEqual">
      <formula>ROUND(G118/G9*100,1)</formula>
    </cfRule>
  </conditionalFormatting>
  <conditionalFormatting sqref="J114">
    <cfRule type="cellIs" dxfId="638" priority="868" operator="notEqual">
      <formula>ROUND(H118/H9*100,1)</formula>
    </cfRule>
  </conditionalFormatting>
  <conditionalFormatting sqref="K114">
    <cfRule type="cellIs" dxfId="637" priority="869" operator="notEqual">
      <formula>ROUND(G118/E118*1000,1)</formula>
    </cfRule>
  </conditionalFormatting>
  <conditionalFormatting sqref="L114">
    <cfRule type="cellIs" dxfId="636" priority="870" operator="notEqual">
      <formula>ROUND(H118/F118*1000,1)</formula>
    </cfRule>
  </conditionalFormatting>
  <conditionalFormatting sqref="M114">
    <cfRule type="cellIs" dxfId="635" priority="871" operator="notEqual">
      <formula>ROUND(K118/L118*100,1)</formula>
    </cfRule>
  </conditionalFormatting>
  <conditionalFormatting sqref="N114">
    <cfRule type="cellIs" dxfId="634" priority="872" operator="notEqual">
      <formula>ROUND(E118/F118*100,1)</formula>
    </cfRule>
  </conditionalFormatting>
  <conditionalFormatting sqref="O114">
    <cfRule type="cellIs" dxfId="633" priority="873" operator="notEqual">
      <formula>ROUND(G118/H118*100,1)</formula>
    </cfRule>
  </conditionalFormatting>
  <conditionalFormatting sqref="P114">
    <cfRule type="cellIs" dxfId="632" priority="874" operator="notEqual">
      <formula>ROUND(E118/E115*100,1)</formula>
    </cfRule>
  </conditionalFormatting>
  <conditionalFormatting sqref="Q114">
    <cfRule type="cellIs" dxfId="631" priority="875" operator="notEqual">
      <formula>ROUND(F118/F115*100,1)</formula>
    </cfRule>
  </conditionalFormatting>
  <conditionalFormatting sqref="R114">
    <cfRule type="cellIs" dxfId="630" priority="876" operator="notEqual">
      <formula>ROUND(K118/K117*100,1)</formula>
    </cfRule>
  </conditionalFormatting>
  <conditionalFormatting sqref="S114">
    <cfRule type="cellIs" dxfId="629" priority="877" operator="notEqual">
      <formula>ROUND(L118/L117*100,1)</formula>
    </cfRule>
  </conditionalFormatting>
  <conditionalFormatting sqref="E115">
    <cfRule type="cellIs" dxfId="628" priority="878" operator="notEqual">
      <formula>ROUND(SUM(E121:E122),1)</formula>
    </cfRule>
  </conditionalFormatting>
  <conditionalFormatting sqref="F115">
    <cfRule type="cellIs" dxfId="627" priority="879" operator="notEqual">
      <formula>ROUND(SUM(F121:F122),1)</formula>
    </cfRule>
  </conditionalFormatting>
  <conditionalFormatting sqref="G115">
    <cfRule type="cellIs" dxfId="626" priority="880" operator="notEqual">
      <formula>ROUND(SUM(G121:G122),1)</formula>
    </cfRule>
  </conditionalFormatting>
  <conditionalFormatting sqref="H115">
    <cfRule type="cellIs" dxfId="625" priority="881" operator="notEqual">
      <formula>ROUND(SUM(H121:H122),1)</formula>
    </cfRule>
  </conditionalFormatting>
  <conditionalFormatting sqref="I115">
    <cfRule type="cellIs" dxfId="624" priority="882" operator="notEqual">
      <formula>ROUND(G119/G6*100,1)</formula>
    </cfRule>
  </conditionalFormatting>
  <conditionalFormatting sqref="J115">
    <cfRule type="cellIs" dxfId="623" priority="883" operator="notEqual">
      <formula>ROUND(H119/H6*100,1)</formula>
    </cfRule>
  </conditionalFormatting>
  <conditionalFormatting sqref="K115">
    <cfRule type="cellIs" dxfId="622" priority="884" operator="notEqual">
      <formula>ROUND(G119/E119*1000,1)</formula>
    </cfRule>
  </conditionalFormatting>
  <conditionalFormatting sqref="L115">
    <cfRule type="cellIs" dxfId="621" priority="885" operator="notEqual">
      <formula>ROUND(H119/F119*1000,1)</formula>
    </cfRule>
  </conditionalFormatting>
  <conditionalFormatting sqref="M115">
    <cfRule type="cellIs" dxfId="620" priority="886" operator="notEqual">
      <formula>ROUND(K119/L119*100,1)</formula>
    </cfRule>
  </conditionalFormatting>
  <conditionalFormatting sqref="N115">
    <cfRule type="cellIs" dxfId="619" priority="887" operator="notEqual">
      <formula>ROUND(E119/F119*100,1)</formula>
    </cfRule>
  </conditionalFormatting>
  <conditionalFormatting sqref="O115">
    <cfRule type="cellIs" dxfId="618" priority="888" operator="notEqual">
      <formula>ROUND(G119/H119*100,1)</formula>
    </cfRule>
  </conditionalFormatting>
  <conditionalFormatting sqref="P115">
    <cfRule type="cellIs" dxfId="617" priority="889" operator="notEqual">
      <formula>ROUND(SUM(P121:P122),1)</formula>
    </cfRule>
  </conditionalFormatting>
  <conditionalFormatting sqref="Q115">
    <cfRule type="cellIs" dxfId="616" priority="890" operator="notEqual">
      <formula>ROUND(SUM(Q121:Q122),1)</formula>
    </cfRule>
  </conditionalFormatting>
  <conditionalFormatting sqref="I117">
    <cfRule type="cellIs" dxfId="615" priority="891" operator="notEqual">
      <formula>ROUND(G121/G8*100,1)</formula>
    </cfRule>
  </conditionalFormatting>
  <conditionalFormatting sqref="J117">
    <cfRule type="cellIs" dxfId="614" priority="892" operator="notEqual">
      <formula>ROUND(H121/H8*100,1)</formula>
    </cfRule>
  </conditionalFormatting>
  <conditionalFormatting sqref="K117">
    <cfRule type="cellIs" dxfId="613" priority="893" operator="notEqual">
      <formula>ROUND(G121/E121*1000,1)</formula>
    </cfRule>
  </conditionalFormatting>
  <conditionalFormatting sqref="L117">
    <cfRule type="cellIs" dxfId="612" priority="894" operator="notEqual">
      <formula>ROUND(H121/F121*1000,1)</formula>
    </cfRule>
  </conditionalFormatting>
  <conditionalFormatting sqref="M117">
    <cfRule type="cellIs" dxfId="611" priority="895" operator="notEqual">
      <formula>ROUND(K121/L121*100,1)</formula>
    </cfRule>
  </conditionalFormatting>
  <conditionalFormatting sqref="N117">
    <cfRule type="cellIs" dxfId="610" priority="896" operator="notEqual">
      <formula>ROUND(E121/F121*100,1)</formula>
    </cfRule>
  </conditionalFormatting>
  <conditionalFormatting sqref="O117">
    <cfRule type="cellIs" dxfId="609" priority="897" operator="notEqual">
      <formula>ROUND(G121/H121*100,1)</formula>
    </cfRule>
  </conditionalFormatting>
  <conditionalFormatting sqref="P117">
    <cfRule type="cellIs" dxfId="608" priority="898" operator="notEqual">
      <formula>ROUND(E121/E119*100,1)</formula>
    </cfRule>
  </conditionalFormatting>
  <conditionalFormatting sqref="Q117">
    <cfRule type="cellIs" dxfId="607" priority="899" operator="notEqual">
      <formula>ROUND(F121/F119*100,1)</formula>
    </cfRule>
  </conditionalFormatting>
  <conditionalFormatting sqref="R117">
    <cfRule type="cellIs" dxfId="606" priority="900" operator="notEqual">
      <formula>ROUND(K121/K122*100,1)</formula>
    </cfRule>
  </conditionalFormatting>
  <conditionalFormatting sqref="S117">
    <cfRule type="cellIs" dxfId="605" priority="901" operator="notEqual">
      <formula>ROUND(L121/L122*100,1)</formula>
    </cfRule>
  </conditionalFormatting>
  <conditionalFormatting sqref="I118">
    <cfRule type="cellIs" dxfId="604" priority="902" operator="notEqual">
      <formula>ROUND(G122/G9*100,1)</formula>
    </cfRule>
  </conditionalFormatting>
  <conditionalFormatting sqref="J118">
    <cfRule type="cellIs" dxfId="603" priority="903" operator="notEqual">
      <formula>ROUND(H122/H9*100,1)</formula>
    </cfRule>
  </conditionalFormatting>
  <conditionalFormatting sqref="K118">
    <cfRule type="cellIs" dxfId="602" priority="904" operator="notEqual">
      <formula>ROUND(G122/E122*1000,1)</formula>
    </cfRule>
  </conditionalFormatting>
  <conditionalFormatting sqref="L118">
    <cfRule type="cellIs" dxfId="601" priority="905" operator="notEqual">
      <formula>ROUND(H122/F122*1000,1)</formula>
    </cfRule>
  </conditionalFormatting>
  <conditionalFormatting sqref="M118">
    <cfRule type="cellIs" dxfId="600" priority="906" operator="notEqual">
      <formula>ROUND(K122/L122*100,1)</formula>
    </cfRule>
  </conditionalFormatting>
  <conditionalFormatting sqref="N118">
    <cfRule type="cellIs" dxfId="599" priority="907" operator="notEqual">
      <formula>ROUND(E122/F122*100,1)</formula>
    </cfRule>
  </conditionalFormatting>
  <conditionalFormatting sqref="O118">
    <cfRule type="cellIs" dxfId="598" priority="908" operator="notEqual">
      <formula>ROUND(G122/H122*100,1)</formula>
    </cfRule>
  </conditionalFormatting>
  <conditionalFormatting sqref="P118">
    <cfRule type="cellIs" dxfId="597" priority="909" operator="notEqual">
      <formula>ROUND(E122/E119*100,1)</formula>
    </cfRule>
  </conditionalFormatting>
  <conditionalFormatting sqref="Q118">
    <cfRule type="cellIs" dxfId="596" priority="910" operator="notEqual">
      <formula>ROUND(F122/F119*100,1)</formula>
    </cfRule>
  </conditionalFormatting>
  <conditionalFormatting sqref="R118">
    <cfRule type="cellIs" dxfId="595" priority="911" operator="notEqual">
      <formula>ROUND(K122/K121*100,1)</formula>
    </cfRule>
  </conditionalFormatting>
  <conditionalFormatting sqref="S118">
    <cfRule type="cellIs" dxfId="594" priority="912" operator="notEqual">
      <formula>ROUND(L122/L121*100,1)</formula>
    </cfRule>
  </conditionalFormatting>
  <conditionalFormatting sqref="E119">
    <cfRule type="cellIs" dxfId="593" priority="913" operator="notEqual">
      <formula>ROUND(SUM(E125:E126),1)</formula>
    </cfRule>
  </conditionalFormatting>
  <conditionalFormatting sqref="F119">
    <cfRule type="cellIs" dxfId="592" priority="914" operator="notEqual">
      <formula>ROUND(SUM(F125:F126),1)</formula>
    </cfRule>
  </conditionalFormatting>
  <conditionalFormatting sqref="G119">
    <cfRule type="cellIs" dxfId="591" priority="915" operator="notEqual">
      <formula>ROUND(SUM(G125:G126),1)</formula>
    </cfRule>
  </conditionalFormatting>
  <conditionalFormatting sqref="H119">
    <cfRule type="cellIs" dxfId="590" priority="916" operator="notEqual">
      <formula>ROUND(SUM(H125:H126),1)</formula>
    </cfRule>
  </conditionalFormatting>
  <conditionalFormatting sqref="I119">
    <cfRule type="cellIs" dxfId="589" priority="917" operator="notEqual">
      <formula>ROUND(G123/G6*100,1)</formula>
    </cfRule>
  </conditionalFormatting>
  <conditionalFormatting sqref="J119">
    <cfRule type="cellIs" dxfId="588" priority="918" operator="notEqual">
      <formula>ROUND(H123/H6*100,1)</formula>
    </cfRule>
  </conditionalFormatting>
  <conditionalFormatting sqref="K119">
    <cfRule type="cellIs" dxfId="587" priority="919" operator="notEqual">
      <formula>ROUND(G123/E123*1000,1)</formula>
    </cfRule>
  </conditionalFormatting>
  <conditionalFormatting sqref="L119">
    <cfRule type="cellIs" dxfId="586" priority="920" operator="notEqual">
      <formula>ROUND(H123/F123*1000,1)</formula>
    </cfRule>
  </conditionalFormatting>
  <conditionalFormatting sqref="M119">
    <cfRule type="cellIs" dxfId="585" priority="921" operator="notEqual">
      <formula>ROUND(K123/L123*100,1)</formula>
    </cfRule>
  </conditionalFormatting>
  <conditionalFormatting sqref="N119">
    <cfRule type="cellIs" dxfId="584" priority="922" operator="notEqual">
      <formula>ROUND(E123/F123*100,1)</formula>
    </cfRule>
  </conditionalFormatting>
  <conditionalFormatting sqref="O119">
    <cfRule type="cellIs" dxfId="583" priority="923" operator="notEqual">
      <formula>ROUND(G123/H123*100,1)</formula>
    </cfRule>
  </conditionalFormatting>
  <conditionalFormatting sqref="P119">
    <cfRule type="cellIs" dxfId="582" priority="924" operator="notEqual">
      <formula>ROUND(SUM(P125:P126),1)</formula>
    </cfRule>
  </conditionalFormatting>
  <conditionalFormatting sqref="Q119">
    <cfRule type="cellIs" dxfId="581" priority="925" operator="notEqual">
      <formula>ROUND(SUM(Q125:Q126),1)</formula>
    </cfRule>
  </conditionalFormatting>
  <conditionalFormatting sqref="I121">
    <cfRule type="cellIs" dxfId="580" priority="926" operator="notEqual">
      <formula>ROUND(G125/G8*100,1)</formula>
    </cfRule>
  </conditionalFormatting>
  <conditionalFormatting sqref="J121">
    <cfRule type="cellIs" dxfId="579" priority="927" operator="notEqual">
      <formula>ROUND(H125/H8*100,1)</formula>
    </cfRule>
  </conditionalFormatting>
  <conditionalFormatting sqref="K121">
    <cfRule type="cellIs" dxfId="578" priority="928" operator="notEqual">
      <formula>ROUND(G125/E125*1000,1)</formula>
    </cfRule>
  </conditionalFormatting>
  <conditionalFormatting sqref="L121">
    <cfRule type="cellIs" dxfId="577" priority="929" operator="notEqual">
      <formula>ROUND(H125/F125*1000,1)</formula>
    </cfRule>
  </conditionalFormatting>
  <conditionalFormatting sqref="M121">
    <cfRule type="cellIs" dxfId="576" priority="930" operator="notEqual">
      <formula>ROUND(K125/L125*100,1)</formula>
    </cfRule>
  </conditionalFormatting>
  <conditionalFormatting sqref="N121">
    <cfRule type="cellIs" dxfId="575" priority="931" operator="notEqual">
      <formula>ROUND(E125/F125*100,1)</formula>
    </cfRule>
  </conditionalFormatting>
  <conditionalFormatting sqref="O121">
    <cfRule type="cellIs" dxfId="574" priority="932" operator="notEqual">
      <formula>ROUND(G125/H125*100,1)</formula>
    </cfRule>
  </conditionalFormatting>
  <conditionalFormatting sqref="P121">
    <cfRule type="cellIs" dxfId="573" priority="933" operator="notEqual">
      <formula>ROUND(E125/E123*100,1)</formula>
    </cfRule>
  </conditionalFormatting>
  <conditionalFormatting sqref="Q121">
    <cfRule type="cellIs" dxfId="572" priority="934" operator="notEqual">
      <formula>ROUND(F125/F123*100,1)</formula>
    </cfRule>
  </conditionalFormatting>
  <conditionalFormatting sqref="R121">
    <cfRule type="cellIs" dxfId="571" priority="935" operator="notEqual">
      <formula>ROUND(K125/K126*100,1)</formula>
    </cfRule>
  </conditionalFormatting>
  <conditionalFormatting sqref="S121">
    <cfRule type="cellIs" dxfId="570" priority="936" operator="notEqual">
      <formula>ROUND(L125/L126*100,1)</formula>
    </cfRule>
  </conditionalFormatting>
  <conditionalFormatting sqref="I122">
    <cfRule type="cellIs" dxfId="569" priority="937" operator="notEqual">
      <formula>ROUND(G126/G9*100,1)</formula>
    </cfRule>
  </conditionalFormatting>
  <conditionalFormatting sqref="J122">
    <cfRule type="cellIs" dxfId="568" priority="938" operator="notEqual">
      <formula>ROUND(H126/H9*100,1)</formula>
    </cfRule>
  </conditionalFormatting>
  <conditionalFormatting sqref="K122">
    <cfRule type="cellIs" dxfId="567" priority="939" operator="notEqual">
      <formula>ROUND(G126/E126*1000,1)</formula>
    </cfRule>
  </conditionalFormatting>
  <conditionalFormatting sqref="L122">
    <cfRule type="cellIs" dxfId="566" priority="940" operator="notEqual">
      <formula>ROUND(H126/F126*1000,1)</formula>
    </cfRule>
  </conditionalFormatting>
  <conditionalFormatting sqref="M122">
    <cfRule type="cellIs" dxfId="565" priority="941" operator="notEqual">
      <formula>ROUND(K126/L126*100,1)</formula>
    </cfRule>
  </conditionalFormatting>
  <conditionalFormatting sqref="N122">
    <cfRule type="cellIs" dxfId="564" priority="942" operator="notEqual">
      <formula>ROUND(E126/F126*100,1)</formula>
    </cfRule>
  </conditionalFormatting>
  <conditionalFormatting sqref="O122">
    <cfRule type="cellIs" dxfId="563" priority="943" operator="notEqual">
      <formula>ROUND(G126/H126*100,1)</formula>
    </cfRule>
  </conditionalFormatting>
  <conditionalFormatting sqref="P122">
    <cfRule type="cellIs" dxfId="562" priority="944" operator="notEqual">
      <formula>ROUND(E126/E123*100,1)</formula>
    </cfRule>
  </conditionalFormatting>
  <conditionalFormatting sqref="Q122">
    <cfRule type="cellIs" dxfId="561" priority="945" operator="notEqual">
      <formula>ROUND(F119/F123*100,1)</formula>
    </cfRule>
  </conditionalFormatting>
  <conditionalFormatting sqref="R122">
    <cfRule type="cellIs" dxfId="560" priority="946" operator="notEqual">
      <formula>ROUND(K126/K125*100,1)</formula>
    </cfRule>
  </conditionalFormatting>
  <conditionalFormatting sqref="S122">
    <cfRule type="cellIs" dxfId="559" priority="947" operator="notEqual">
      <formula>ROUND(L126/L125*100,1)</formula>
    </cfRule>
  </conditionalFormatting>
  <conditionalFormatting sqref="E123">
    <cfRule type="cellIs" dxfId="558" priority="948" operator="notEqual">
      <formula>ROUND(SUM(E129:E130),1)</formula>
    </cfRule>
  </conditionalFormatting>
  <conditionalFormatting sqref="F123">
    <cfRule type="cellIs" dxfId="557" priority="949" operator="notEqual">
      <formula>ROUND(SUM(F129:F130),1)</formula>
    </cfRule>
  </conditionalFormatting>
  <conditionalFormatting sqref="G123">
    <cfRule type="cellIs" dxfId="556" priority="950" operator="notEqual">
      <formula>ROUND(SUM(G129:G130),1)</formula>
    </cfRule>
  </conditionalFormatting>
  <conditionalFormatting sqref="H123">
    <cfRule type="cellIs" dxfId="555" priority="951" operator="notEqual">
      <formula>ROUND(SUM(H129:H130),1)</formula>
    </cfRule>
  </conditionalFormatting>
  <conditionalFormatting sqref="I123">
    <cfRule type="cellIs" dxfId="554" priority="952" operator="notEqual">
      <formula>ROUND(G127/G6*100,1)</formula>
    </cfRule>
  </conditionalFormatting>
  <conditionalFormatting sqref="J123">
    <cfRule type="cellIs" dxfId="553" priority="953" operator="notEqual">
      <formula>ROUND(H127/H6*100,1)</formula>
    </cfRule>
  </conditionalFormatting>
  <conditionalFormatting sqref="K123">
    <cfRule type="cellIs" dxfId="552" priority="954" operator="notEqual">
      <formula>ROUND(G127/E127*1000,1)</formula>
    </cfRule>
  </conditionalFormatting>
  <conditionalFormatting sqref="L123">
    <cfRule type="cellIs" dxfId="551" priority="955" operator="notEqual">
      <formula>ROUND(H127/F127*1000,1)</formula>
    </cfRule>
  </conditionalFormatting>
  <conditionalFormatting sqref="M123">
    <cfRule type="cellIs" dxfId="550" priority="956" operator="notEqual">
      <formula>ROUND(K127/L127*100,1)</formula>
    </cfRule>
  </conditionalFormatting>
  <conditionalFormatting sqref="N123">
    <cfRule type="cellIs" dxfId="549" priority="957" operator="notEqual">
      <formula>ROUND(E127/F127*100,1)</formula>
    </cfRule>
  </conditionalFormatting>
  <conditionalFormatting sqref="O123">
    <cfRule type="cellIs" dxfId="548" priority="958" operator="notEqual">
      <formula>ROUND(G127/H127*100,1)</formula>
    </cfRule>
  </conditionalFormatting>
  <conditionalFormatting sqref="P123">
    <cfRule type="cellIs" dxfId="547" priority="959" operator="notEqual">
      <formula>ROUND(SUM(P129:P130),1)</formula>
    </cfRule>
  </conditionalFormatting>
  <conditionalFormatting sqref="Q123">
    <cfRule type="cellIs" dxfId="546" priority="960" operator="notEqual">
      <formula>ROUND(SUM(Q129:Q130),1)</formula>
    </cfRule>
  </conditionalFormatting>
  <conditionalFormatting sqref="I125">
    <cfRule type="cellIs" dxfId="545" priority="961" operator="notEqual">
      <formula>ROUND(G129/G8*100,1)</formula>
    </cfRule>
  </conditionalFormatting>
  <conditionalFormatting sqref="J125">
    <cfRule type="cellIs" dxfId="544" priority="962" operator="notEqual">
      <formula>ROUND(H129/H8*100,1)</formula>
    </cfRule>
  </conditionalFormatting>
  <conditionalFormatting sqref="K125">
    <cfRule type="cellIs" dxfId="543" priority="963" operator="notEqual">
      <formula>ROUND(G129/E129*1000,1)</formula>
    </cfRule>
  </conditionalFormatting>
  <conditionalFormatting sqref="L125">
    <cfRule type="cellIs" dxfId="542" priority="964" operator="notEqual">
      <formula>ROUND(H129/F129*1000,1)</formula>
    </cfRule>
  </conditionalFormatting>
  <conditionalFormatting sqref="M125">
    <cfRule type="cellIs" dxfId="541" priority="965" operator="notEqual">
      <formula>ROUND(K129/L129*100,1)</formula>
    </cfRule>
  </conditionalFormatting>
  <conditionalFormatting sqref="N125">
    <cfRule type="cellIs" dxfId="540" priority="966" operator="notEqual">
      <formula>ROUND(E129/F129*100,1)</formula>
    </cfRule>
  </conditionalFormatting>
  <conditionalFormatting sqref="O125">
    <cfRule type="cellIs" dxfId="539" priority="967" operator="notEqual">
      <formula>ROUND(G129/H129*100,1)</formula>
    </cfRule>
  </conditionalFormatting>
  <conditionalFormatting sqref="P125">
    <cfRule type="cellIs" dxfId="538" priority="968" operator="notEqual">
      <formula>ROUND(E129/E127*100,1)</formula>
    </cfRule>
  </conditionalFormatting>
  <conditionalFormatting sqref="Q125">
    <cfRule type="cellIs" dxfId="537" priority="969" operator="notEqual">
      <formula>ROUND(F129/F127*100,1)</formula>
    </cfRule>
  </conditionalFormatting>
  <conditionalFormatting sqref="R125">
    <cfRule type="cellIs" dxfId="536" priority="970" operator="notEqual">
      <formula>ROUND(K129/K130*100,1)</formula>
    </cfRule>
  </conditionalFormatting>
  <conditionalFormatting sqref="S125">
    <cfRule type="cellIs" dxfId="535" priority="971" operator="notEqual">
      <formula>ROUND(L129/L130*100,1)</formula>
    </cfRule>
  </conditionalFormatting>
  <conditionalFormatting sqref="I126">
    <cfRule type="cellIs" dxfId="534" priority="972" operator="notEqual">
      <formula>ROUND(G130/G9*100,1)</formula>
    </cfRule>
  </conditionalFormatting>
  <conditionalFormatting sqref="J126">
    <cfRule type="cellIs" dxfId="533" priority="973" operator="notEqual">
      <formula>ROUND(H130/H9*100,1)</formula>
    </cfRule>
  </conditionalFormatting>
  <conditionalFormatting sqref="K126">
    <cfRule type="cellIs" dxfId="532" priority="974" operator="notEqual">
      <formula>ROUND(G130/E130*1000,1)</formula>
    </cfRule>
  </conditionalFormatting>
  <conditionalFormatting sqref="L126">
    <cfRule type="cellIs" dxfId="531" priority="975" operator="notEqual">
      <formula>ROUND(H130/F130*1000,1)</formula>
    </cfRule>
  </conditionalFormatting>
  <conditionalFormatting sqref="M126">
    <cfRule type="cellIs" dxfId="530" priority="976" operator="notEqual">
      <formula>ROUND(K130/L130*100,1)</formula>
    </cfRule>
  </conditionalFormatting>
  <conditionalFormatting sqref="N126">
    <cfRule type="cellIs" dxfId="529" priority="977" operator="notEqual">
      <formula>ROUND(E130/F130*100,1)</formula>
    </cfRule>
  </conditionalFormatting>
  <conditionalFormatting sqref="O126">
    <cfRule type="cellIs" dxfId="528" priority="978" operator="notEqual">
      <formula>ROUND(G130/H130*100,1)</formula>
    </cfRule>
  </conditionalFormatting>
  <conditionalFormatting sqref="P126">
    <cfRule type="cellIs" dxfId="527" priority="979" operator="notEqual">
      <formula>ROUND(E130/E127*100,1)</formula>
    </cfRule>
  </conditionalFormatting>
  <conditionalFormatting sqref="Q126">
    <cfRule type="cellIs" dxfId="526" priority="980" operator="notEqual">
      <formula>ROUND(F130/F127*100,1)</formula>
    </cfRule>
  </conditionalFormatting>
  <conditionalFormatting sqref="R126">
    <cfRule type="cellIs" dxfId="525" priority="981" operator="notEqual">
      <formula>ROUND(K130/K129*100,1)</formula>
    </cfRule>
  </conditionalFormatting>
  <conditionalFormatting sqref="S126">
    <cfRule type="cellIs" dxfId="524" priority="982" operator="notEqual">
      <formula>ROUND(L130/L129*100,1)</formula>
    </cfRule>
  </conditionalFormatting>
  <conditionalFormatting sqref="E127">
    <cfRule type="cellIs" dxfId="523" priority="983" operator="notEqual">
      <formula>ROUND(SUM(E133:E134),1)</formula>
    </cfRule>
  </conditionalFormatting>
  <conditionalFormatting sqref="F127">
    <cfRule type="cellIs" dxfId="522" priority="984" operator="notEqual">
      <formula>ROUND(SUM(F133:F134),1)</formula>
    </cfRule>
  </conditionalFormatting>
  <conditionalFormatting sqref="G127">
    <cfRule type="cellIs" dxfId="521" priority="985" operator="notEqual">
      <formula>ROUND(SUM(G133:G134),1)</formula>
    </cfRule>
  </conditionalFormatting>
  <conditionalFormatting sqref="H127">
    <cfRule type="cellIs" dxfId="520" priority="986" operator="notEqual">
      <formula>ROUND(SUM(H133:H134),1)</formula>
    </cfRule>
  </conditionalFormatting>
  <conditionalFormatting sqref="I127">
    <cfRule type="cellIs" dxfId="519" priority="987" operator="notEqual">
      <formula>ROUND(G131/G6*100,1)</formula>
    </cfRule>
  </conditionalFormatting>
  <conditionalFormatting sqref="J127">
    <cfRule type="cellIs" dxfId="518" priority="988" operator="notEqual">
      <formula>ROUND(H131/H6*100,1)</formula>
    </cfRule>
  </conditionalFormatting>
  <conditionalFormatting sqref="K127">
    <cfRule type="cellIs" dxfId="517" priority="989" operator="notEqual">
      <formula>ROUND(G131/E131*1000,1)</formula>
    </cfRule>
  </conditionalFormatting>
  <conditionalFormatting sqref="L127">
    <cfRule type="cellIs" dxfId="516" priority="990" operator="notEqual">
      <formula>ROUND(H131/F131*1000,1)</formula>
    </cfRule>
  </conditionalFormatting>
  <conditionalFormatting sqref="M127">
    <cfRule type="cellIs" dxfId="515" priority="991" operator="notEqual">
      <formula>ROUND(K131/L131*100,1)</formula>
    </cfRule>
  </conditionalFormatting>
  <conditionalFormatting sqref="N127">
    <cfRule type="cellIs" dxfId="514" priority="992" operator="notEqual">
      <formula>ROUND(E131/F131*100,1)</formula>
    </cfRule>
  </conditionalFormatting>
  <conditionalFormatting sqref="O127">
    <cfRule type="cellIs" dxfId="513" priority="993" operator="notEqual">
      <formula>ROUND(G131/H131*100,1)</formula>
    </cfRule>
  </conditionalFormatting>
  <conditionalFormatting sqref="P127">
    <cfRule type="cellIs" dxfId="512" priority="994" operator="notEqual">
      <formula>ROUND(SUM(P133:P134),1)</formula>
    </cfRule>
  </conditionalFormatting>
  <conditionalFormatting sqref="Q127">
    <cfRule type="cellIs" dxfId="511" priority="995" operator="notEqual">
      <formula>ROUND(SUM(Q133:Q134),1)</formula>
    </cfRule>
  </conditionalFormatting>
  <conditionalFormatting sqref="I129">
    <cfRule type="cellIs" dxfId="510" priority="996" operator="notEqual">
      <formula>ROUND(G133/G8*100,1)</formula>
    </cfRule>
  </conditionalFormatting>
  <conditionalFormatting sqref="J129">
    <cfRule type="cellIs" dxfId="509" priority="997" operator="notEqual">
      <formula>ROUND(H133/H8*100,1)</formula>
    </cfRule>
  </conditionalFormatting>
  <conditionalFormatting sqref="K129">
    <cfRule type="cellIs" dxfId="508" priority="998" operator="notEqual">
      <formula>ROUND(G133/E133*1000,1)</formula>
    </cfRule>
  </conditionalFormatting>
  <conditionalFormatting sqref="L129">
    <cfRule type="cellIs" dxfId="507" priority="999" operator="notEqual">
      <formula>ROUND(H133/F133*1000,1)</formula>
    </cfRule>
  </conditionalFormatting>
  <conditionalFormatting sqref="M129">
    <cfRule type="cellIs" dxfId="506" priority="1000" operator="notEqual">
      <formula>ROUND(K133/L133*100,1)</formula>
    </cfRule>
  </conditionalFormatting>
  <conditionalFormatting sqref="N129">
    <cfRule type="cellIs" dxfId="505" priority="1001" operator="notEqual">
      <formula>ROUND(E133/F133*100,1)</formula>
    </cfRule>
  </conditionalFormatting>
  <conditionalFormatting sqref="O129">
    <cfRule type="cellIs" dxfId="504" priority="1002" operator="notEqual">
      <formula>ROUND(G133/H133*100,1)</formula>
    </cfRule>
  </conditionalFormatting>
  <conditionalFormatting sqref="P129">
    <cfRule type="cellIs" dxfId="503" priority="1003" operator="notEqual">
      <formula>ROUND(E133/E131*100,1)</formula>
    </cfRule>
  </conditionalFormatting>
  <conditionalFormatting sqref="Q129">
    <cfRule type="cellIs" dxfId="502" priority="1004" operator="notEqual">
      <formula>ROUND(F133/F131*100,1)</formula>
    </cfRule>
  </conditionalFormatting>
  <conditionalFormatting sqref="R129">
    <cfRule type="cellIs" dxfId="501" priority="1005" operator="notEqual">
      <formula>ROUND(K133/K134*100,1)</formula>
    </cfRule>
  </conditionalFormatting>
  <conditionalFormatting sqref="S129">
    <cfRule type="cellIs" dxfId="500" priority="1006" operator="notEqual">
      <formula>ROUND(L133/L134*100,1)</formula>
    </cfRule>
  </conditionalFormatting>
  <conditionalFormatting sqref="I130">
    <cfRule type="cellIs" dxfId="499" priority="1007" operator="notEqual">
      <formula>ROUND(G134/G9*100,1)</formula>
    </cfRule>
  </conditionalFormatting>
  <conditionalFormatting sqref="J130">
    <cfRule type="cellIs" dxfId="498" priority="1008" operator="notEqual">
      <formula>ROUND(H134/H9*100,1)</formula>
    </cfRule>
  </conditionalFormatting>
  <conditionalFormatting sqref="K130">
    <cfRule type="cellIs" dxfId="497" priority="1009" operator="notEqual">
      <formula>ROUND(G134/E134*1000,1)</formula>
    </cfRule>
  </conditionalFormatting>
  <conditionalFormatting sqref="L130">
    <cfRule type="cellIs" dxfId="496" priority="1010" operator="notEqual">
      <formula>ROUND(H134/F134*1000,1)</formula>
    </cfRule>
  </conditionalFormatting>
  <conditionalFormatting sqref="M130">
    <cfRule type="cellIs" dxfId="495" priority="1011" operator="notEqual">
      <formula>ROUND(K134/L134*100,1)</formula>
    </cfRule>
  </conditionalFormatting>
  <conditionalFormatting sqref="N130">
    <cfRule type="cellIs" dxfId="494" priority="1012" operator="notEqual">
      <formula>ROUND(E134/F134*100,1)</formula>
    </cfRule>
  </conditionalFormatting>
  <conditionalFormatting sqref="O130">
    <cfRule type="cellIs" dxfId="493" priority="1013" operator="notEqual">
      <formula>ROUND(G134/H134*100,1)</formula>
    </cfRule>
  </conditionalFormatting>
  <conditionalFormatting sqref="P130">
    <cfRule type="cellIs" dxfId="492" priority="1014" operator="notEqual">
      <formula>ROUND(E134/E131*100,1)</formula>
    </cfRule>
  </conditionalFormatting>
  <conditionalFormatting sqref="Q130">
    <cfRule type="cellIs" dxfId="491" priority="1015" operator="notEqual">
      <formula>ROUND(F134/F131*100,1)</formula>
    </cfRule>
  </conditionalFormatting>
  <conditionalFormatting sqref="R130">
    <cfRule type="cellIs" dxfId="490" priority="1016" operator="notEqual">
      <formula>ROUND(K134/K133*100,1)</formula>
    </cfRule>
  </conditionalFormatting>
  <conditionalFormatting sqref="S130">
    <cfRule type="cellIs" dxfId="489" priority="1017" operator="notEqual">
      <formula>ROUND(L134/L133*100,1)</formula>
    </cfRule>
  </conditionalFormatting>
  <conditionalFormatting sqref="G131">
    <cfRule type="cellIs" dxfId="488" priority="1018" operator="notEqual">
      <formula>ROUND(SUM(G137:G138),1)</formula>
    </cfRule>
  </conditionalFormatting>
  <conditionalFormatting sqref="H131">
    <cfRule type="cellIs" dxfId="487" priority="1019" operator="notEqual">
      <formula>ROUND(SUM(H137:H138),1)</formula>
    </cfRule>
  </conditionalFormatting>
  <conditionalFormatting sqref="I131">
    <cfRule type="cellIs" dxfId="486" priority="1020" operator="notEqual">
      <formula>ROUND(G135/G6*100,1)</formula>
    </cfRule>
  </conditionalFormatting>
  <conditionalFormatting sqref="J131">
    <cfRule type="cellIs" dxfId="485" priority="1021" operator="notEqual">
      <formula>ROUND(H135/H6*100,1)</formula>
    </cfRule>
  </conditionalFormatting>
  <conditionalFormatting sqref="O131">
    <cfRule type="cellIs" dxfId="484" priority="1022" operator="notEqual">
      <formula>ROUND(G135/H135*100,1)</formula>
    </cfRule>
  </conditionalFormatting>
  <conditionalFormatting sqref="P131">
    <cfRule type="cellIs" dxfId="483" priority="1023" operator="notEqual">
      <formula>ROUND(SUM(P137:P138),1)</formula>
    </cfRule>
  </conditionalFormatting>
  <conditionalFormatting sqref="Q131">
    <cfRule type="cellIs" dxfId="482" priority="1024" operator="notEqual">
      <formula>ROUND(SUM(Q137:Q138),1)</formula>
    </cfRule>
  </conditionalFormatting>
  <conditionalFormatting sqref="I133">
    <cfRule type="cellIs" dxfId="481" priority="1025" operator="notEqual">
      <formula>ROUND(G137/G8*100,1)</formula>
    </cfRule>
  </conditionalFormatting>
  <conditionalFormatting sqref="J133">
    <cfRule type="cellIs" dxfId="480" priority="1026" operator="notEqual">
      <formula>ROUND(G137/G8*100,1)</formula>
    </cfRule>
  </conditionalFormatting>
  <conditionalFormatting sqref="O133">
    <cfRule type="cellIs" dxfId="479" priority="1027" operator="notEqual">
      <formula>ROUND(G137/H137*100,1)</formula>
    </cfRule>
  </conditionalFormatting>
  <conditionalFormatting sqref="P133">
    <cfRule type="cellIs" dxfId="478" priority="1028" operator="notEqual">
      <formula>ROUND(G137/G135*100,1)</formula>
    </cfRule>
  </conditionalFormatting>
  <conditionalFormatting sqref="Q133">
    <cfRule type="cellIs" dxfId="477" priority="1029" operator="notEqual">
      <formula>ROUND(H137/H135*100,1)</formula>
    </cfRule>
  </conditionalFormatting>
  <conditionalFormatting sqref="I134">
    <cfRule type="cellIs" dxfId="476" priority="1030" operator="notEqual">
      <formula>ROUND(G138/G9*100,1)</formula>
    </cfRule>
  </conditionalFormatting>
  <conditionalFormatting sqref="J134">
    <cfRule type="cellIs" dxfId="475" priority="1031" operator="notEqual">
      <formula>ROUND(H138/H9*100,1)</formula>
    </cfRule>
  </conditionalFormatting>
  <conditionalFormatting sqref="O134">
    <cfRule type="cellIs" dxfId="474" priority="1032" operator="notEqual">
      <formula>ROUND(G138/H138*100,1)</formula>
    </cfRule>
  </conditionalFormatting>
  <conditionalFormatting sqref="P134">
    <cfRule type="cellIs" dxfId="473" priority="1033" operator="notEqual">
      <formula>ROUND(G138/G135*100,1)</formula>
    </cfRule>
  </conditionalFormatting>
  <conditionalFormatting sqref="Q134">
    <cfRule type="cellIs" dxfId="472" priority="1034" operator="notEqual">
      <formula>ROUND(H138/H135*100,1)</formula>
    </cfRule>
  </conditionalFormatting>
  <conditionalFormatting sqref="E135">
    <cfRule type="cellIs" dxfId="471" priority="1035" operator="notEqual">
      <formula>ROUND(SUM(E141:E142),1)</formula>
    </cfRule>
  </conditionalFormatting>
  <conditionalFormatting sqref="F135">
    <cfRule type="cellIs" dxfId="470" priority="1036" operator="notEqual">
      <formula>ROUND(SUM(F141:F142),1)</formula>
    </cfRule>
  </conditionalFormatting>
  <conditionalFormatting sqref="G135">
    <cfRule type="cellIs" dxfId="469" priority="1037" operator="notEqual">
      <formula>ROUND(SUM(G141:G142),1)</formula>
    </cfRule>
  </conditionalFormatting>
  <conditionalFormatting sqref="H135">
    <cfRule type="cellIs" dxfId="468" priority="1038" operator="notEqual">
      <formula>ROUND(SUM(H141:H142),1)</formula>
    </cfRule>
  </conditionalFormatting>
  <conditionalFormatting sqref="I135">
    <cfRule type="cellIs" dxfId="467" priority="1039" operator="notEqual">
      <formula>ROUND(G141/G6*100,1)</formula>
    </cfRule>
  </conditionalFormatting>
  <conditionalFormatting sqref="J135">
    <cfRule type="cellIs" dxfId="466" priority="1040" operator="notEqual">
      <formula>ROUND(H141/H6*100,1)</formula>
    </cfRule>
  </conditionalFormatting>
  <conditionalFormatting sqref="K135">
    <cfRule type="cellIs" dxfId="465" priority="1041" operator="notEqual">
      <formula>ROUND(G139/E139*1000,1)</formula>
    </cfRule>
  </conditionalFormatting>
  <conditionalFormatting sqref="L135">
    <cfRule type="cellIs" dxfId="464" priority="1042" operator="notEqual">
      <formula>ROUND(H139/F139*1000,1)</formula>
    </cfRule>
  </conditionalFormatting>
  <conditionalFormatting sqref="M135">
    <cfRule type="cellIs" dxfId="463" priority="1043" operator="notEqual">
      <formula>ROUND(K139/L139*100,1)</formula>
    </cfRule>
  </conditionalFormatting>
  <conditionalFormatting sqref="N135">
    <cfRule type="cellIs" dxfId="462" priority="1044" operator="notEqual">
      <formula>ROUND(E139/F139*100,1)</formula>
    </cfRule>
  </conditionalFormatting>
  <conditionalFormatting sqref="O135">
    <cfRule type="cellIs" dxfId="461" priority="1045" operator="notEqual">
      <formula>ROUND(G139/H139*100,1)</formula>
    </cfRule>
  </conditionalFormatting>
  <conditionalFormatting sqref="P135">
    <cfRule type="cellIs" dxfId="460" priority="1046" operator="notEqual">
      <formula>ROUND(SUM(P141:P142),1)</formula>
    </cfRule>
  </conditionalFormatting>
  <conditionalFormatting sqref="Q135">
    <cfRule type="cellIs" dxfId="459" priority="1047" operator="notEqual">
      <formula>ROUND(SUM(Q141:Q142),1)</formula>
    </cfRule>
  </conditionalFormatting>
  <conditionalFormatting sqref="I137">
    <cfRule type="cellIs" dxfId="458" priority="1048" operator="notEqual">
      <formula>ROUND(G141/G8*100,1)</formula>
    </cfRule>
  </conditionalFormatting>
  <conditionalFormatting sqref="J137">
    <cfRule type="cellIs" dxfId="457" priority="1049" operator="notEqual">
      <formula>ROUND(H141/H8*100,1)</formula>
    </cfRule>
  </conditionalFormatting>
  <conditionalFormatting sqref="K137">
    <cfRule type="cellIs" dxfId="456" priority="1050" operator="notEqual">
      <formula>ROUND(G141/E141*1000,1)</formula>
    </cfRule>
  </conditionalFormatting>
  <conditionalFormatting sqref="L137">
    <cfRule type="cellIs" dxfId="455" priority="1051" operator="notEqual">
      <formula>ROUND(H141/F141*1000,1)</formula>
    </cfRule>
  </conditionalFormatting>
  <conditionalFormatting sqref="M137">
    <cfRule type="cellIs" dxfId="454" priority="1052" operator="notEqual">
      <formula>ROUND(K141/L141*100,1)</formula>
    </cfRule>
  </conditionalFormatting>
  <conditionalFormatting sqref="N137">
    <cfRule type="cellIs" dxfId="453" priority="1053" operator="notEqual">
      <formula>ROUND(E141/F141*100,1)</formula>
    </cfRule>
  </conditionalFormatting>
  <conditionalFormatting sqref="O137">
    <cfRule type="cellIs" dxfId="452" priority="1054" operator="notEqual">
      <formula>ROUND(G141/H141*100,1)</formula>
    </cfRule>
  </conditionalFormatting>
  <conditionalFormatting sqref="P137">
    <cfRule type="cellIs" dxfId="451" priority="1055" operator="notEqual">
      <formula>ROUND(E141/E139*100,1)</formula>
    </cfRule>
  </conditionalFormatting>
  <conditionalFormatting sqref="Q137">
    <cfRule type="cellIs" dxfId="450" priority="1056" operator="notEqual">
      <formula>ROUND(F141/F139*100,1)</formula>
    </cfRule>
  </conditionalFormatting>
  <conditionalFormatting sqref="R137">
    <cfRule type="cellIs" dxfId="449" priority="1057" operator="notEqual">
      <formula>ROUND(K141/K142*100,1)</formula>
    </cfRule>
  </conditionalFormatting>
  <conditionalFormatting sqref="S137">
    <cfRule type="cellIs" dxfId="448" priority="1058" operator="notEqual">
      <formula>ROUND(L141/L142*100,1)</formula>
    </cfRule>
  </conditionalFormatting>
  <conditionalFormatting sqref="I138">
    <cfRule type="cellIs" dxfId="447" priority="1059" operator="notEqual">
      <formula>ROUND(G142/G9*100,1)</formula>
    </cfRule>
  </conditionalFormatting>
  <conditionalFormatting sqref="J138">
    <cfRule type="cellIs" dxfId="446" priority="1060" operator="notEqual">
      <formula>ROUND(H142/H9*100,1)</formula>
    </cfRule>
  </conditionalFormatting>
  <conditionalFormatting sqref="K138">
    <cfRule type="cellIs" dxfId="445" priority="1061" operator="notEqual">
      <formula>ROUND(G142/E142*1000,1)</formula>
    </cfRule>
  </conditionalFormatting>
  <conditionalFormatting sqref="L138">
    <cfRule type="cellIs" dxfId="444" priority="1062" operator="notEqual">
      <formula>ROUND(H142/F142*1000,1)</formula>
    </cfRule>
  </conditionalFormatting>
  <conditionalFormatting sqref="M138">
    <cfRule type="cellIs" dxfId="443" priority="1063" operator="notEqual">
      <formula>ROUND(K142/L142*100,1)</formula>
    </cfRule>
  </conditionalFormatting>
  <conditionalFormatting sqref="N138">
    <cfRule type="cellIs" dxfId="442" priority="1064" operator="notEqual">
      <formula>ROUND(E142/F142*100,1)</formula>
    </cfRule>
  </conditionalFormatting>
  <conditionalFormatting sqref="O138">
    <cfRule type="cellIs" dxfId="441" priority="1065" operator="notEqual">
      <formula>ROUND(G142/H142*100,1)</formula>
    </cfRule>
  </conditionalFormatting>
  <conditionalFormatting sqref="P138">
    <cfRule type="cellIs" dxfId="440" priority="1066" operator="notEqual">
      <formula>ROUND(E142/E139*100,1)</formula>
    </cfRule>
  </conditionalFormatting>
  <conditionalFormatting sqref="Q138">
    <cfRule type="cellIs" dxfId="439" priority="1067" operator="notEqual">
      <formula>ROUND(F142/F139*100,1)</formula>
    </cfRule>
  </conditionalFormatting>
  <conditionalFormatting sqref="R138">
    <cfRule type="cellIs" dxfId="438" priority="1068" operator="notEqual">
      <formula>ROUND(K142/K141*100,1)</formula>
    </cfRule>
  </conditionalFormatting>
  <conditionalFormatting sqref="S138">
    <cfRule type="cellIs" dxfId="437" priority="1069" operator="notEqual">
      <formula>ROUND(L142/L141*100,1)</formula>
    </cfRule>
  </conditionalFormatting>
  <conditionalFormatting sqref="E139">
    <cfRule type="cellIs" dxfId="436" priority="1070" operator="notEqual">
      <formula>ROUND(SUM(E145:E146),1)</formula>
    </cfRule>
  </conditionalFormatting>
  <conditionalFormatting sqref="F139">
    <cfRule type="cellIs" dxfId="435" priority="1071" operator="notEqual">
      <formula>ROUND(SUM(F145:F146),1)</formula>
    </cfRule>
  </conditionalFormatting>
  <conditionalFormatting sqref="G139">
    <cfRule type="cellIs" dxfId="434" priority="1072" operator="notEqual">
      <formula>ROUND(SUM(G145:G146),1)</formula>
    </cfRule>
  </conditionalFormatting>
  <conditionalFormatting sqref="H139">
    <cfRule type="cellIs" dxfId="433" priority="1073" operator="notEqual">
      <formula>ROUND(SUM(H145:H146),1)</formula>
    </cfRule>
  </conditionalFormatting>
  <conditionalFormatting sqref="I139">
    <cfRule type="cellIs" dxfId="432" priority="1074" operator="notEqual">
      <formula>ROUND(G145/G6*100,1)</formula>
    </cfRule>
  </conditionalFormatting>
  <conditionalFormatting sqref="J139">
    <cfRule type="cellIs" dxfId="431" priority="1075" operator="notEqual">
      <formula>ROUND(H145/H6*100,1)</formula>
    </cfRule>
  </conditionalFormatting>
  <conditionalFormatting sqref="K139">
    <cfRule type="cellIs" dxfId="430" priority="1076" operator="notEqual">
      <formula>ROUND(G143/E143,1)</formula>
    </cfRule>
  </conditionalFormatting>
  <conditionalFormatting sqref="L139">
    <cfRule type="cellIs" dxfId="429" priority="1077" operator="notEqual">
      <formula>ROUND(H143/F143,1)</formula>
    </cfRule>
  </conditionalFormatting>
  <conditionalFormatting sqref="M139">
    <cfRule type="cellIs" dxfId="428" priority="1078" operator="notEqual">
      <formula>ROUND(K143/L143*100,1)</formula>
    </cfRule>
  </conditionalFormatting>
  <conditionalFormatting sqref="N139">
    <cfRule type="cellIs" dxfId="427" priority="1079" operator="notEqual">
      <formula>ROUND(E143/F143*100,1)</formula>
    </cfRule>
  </conditionalFormatting>
  <conditionalFormatting sqref="O139">
    <cfRule type="cellIs" dxfId="426" priority="1080" operator="notEqual">
      <formula>ROUND(G143/H143*100,1)</formula>
    </cfRule>
  </conditionalFormatting>
  <conditionalFormatting sqref="P139">
    <cfRule type="cellIs" dxfId="425" priority="1081" operator="notEqual">
      <formula>ROUND(SUM(P145:P146),1)</formula>
    </cfRule>
  </conditionalFormatting>
  <conditionalFormatting sqref="Q139">
    <cfRule type="cellIs" dxfId="424" priority="1082" operator="notEqual">
      <formula>ROUND(SUM(Q145:Q146),1)</formula>
    </cfRule>
  </conditionalFormatting>
  <conditionalFormatting sqref="I141">
    <cfRule type="cellIs" dxfId="423" priority="1083" operator="notEqual">
      <formula>ROUND(G145/G8*100,1)</formula>
    </cfRule>
  </conditionalFormatting>
  <conditionalFormatting sqref="J141">
    <cfRule type="cellIs" dxfId="422" priority="1084" operator="notEqual">
      <formula>ROUND(H145/H8*100,1)</formula>
    </cfRule>
  </conditionalFormatting>
  <conditionalFormatting sqref="K141">
    <cfRule type="cellIs" dxfId="421" priority="1085" operator="notEqual">
      <formula>ROUND(G145/E145,1)</formula>
    </cfRule>
  </conditionalFormatting>
  <conditionalFormatting sqref="L141">
    <cfRule type="cellIs" dxfId="420" priority="1086" operator="notEqual">
      <formula>ROUND(H145/F145,1)</formula>
    </cfRule>
  </conditionalFormatting>
  <conditionalFormatting sqref="M141">
    <cfRule type="cellIs" dxfId="419" priority="1087" operator="notEqual">
      <formula>ROUND(K145/L145*100,1)</formula>
    </cfRule>
  </conditionalFormatting>
  <conditionalFormatting sqref="N141">
    <cfRule type="cellIs" dxfId="418" priority="1088" operator="notEqual">
      <formula>ROUND(E145/F145*100,1)</formula>
    </cfRule>
  </conditionalFormatting>
  <conditionalFormatting sqref="O141">
    <cfRule type="cellIs" dxfId="417" priority="1089" operator="notEqual">
      <formula>ROUND(G145/H145*100,1)</formula>
    </cfRule>
  </conditionalFormatting>
  <conditionalFormatting sqref="P141">
    <cfRule type="cellIs" dxfId="416" priority="1090" operator="notEqual">
      <formula>ROUND(E145/E143*100,1)</formula>
    </cfRule>
  </conditionalFormatting>
  <conditionalFormatting sqref="Q141">
    <cfRule type="cellIs" dxfId="415" priority="1091" operator="notEqual">
      <formula>ROUND(F145/F143*100,1)</formula>
    </cfRule>
  </conditionalFormatting>
  <conditionalFormatting sqref="R141">
    <cfRule type="cellIs" dxfId="414" priority="1092" operator="notEqual">
      <formula>ROUND(K145/K146*100,1)</formula>
    </cfRule>
  </conditionalFormatting>
  <conditionalFormatting sqref="S141">
    <cfRule type="cellIs" dxfId="413" priority="1093" operator="notEqual">
      <formula>ROUND(L145/L146*100,1)</formula>
    </cfRule>
  </conditionalFormatting>
  <conditionalFormatting sqref="I142">
    <cfRule type="cellIs" dxfId="412" priority="1094" operator="notEqual">
      <formula>ROUND(G146/G9*100,1)</formula>
    </cfRule>
  </conditionalFormatting>
  <conditionalFormatting sqref="J142">
    <cfRule type="cellIs" dxfId="411" priority="1095" operator="notEqual">
      <formula>ROUND(H146/H9*100,1)</formula>
    </cfRule>
  </conditionalFormatting>
  <conditionalFormatting sqref="K142">
    <cfRule type="cellIs" dxfId="410" priority="1096" operator="notEqual">
      <formula>ROUND(G146/E146,1)</formula>
    </cfRule>
  </conditionalFormatting>
  <conditionalFormatting sqref="L142">
    <cfRule type="cellIs" dxfId="409" priority="1097" operator="notEqual">
      <formula>ROUND(H146/F146,1)</formula>
    </cfRule>
  </conditionalFormatting>
  <conditionalFormatting sqref="M142">
    <cfRule type="cellIs" dxfId="408" priority="1098" operator="notEqual">
      <formula>ROUND(K146/L146*100,1)</formula>
    </cfRule>
  </conditionalFormatting>
  <conditionalFormatting sqref="N142">
    <cfRule type="cellIs" dxfId="407" priority="1099" operator="notEqual">
      <formula>ROUND(E146/F146*100,1)</formula>
    </cfRule>
  </conditionalFormatting>
  <conditionalFormatting sqref="O142">
    <cfRule type="cellIs" dxfId="406" priority="1100" operator="notEqual">
      <formula>ROUND(G146/H146*100,1)</formula>
    </cfRule>
  </conditionalFormatting>
  <conditionalFormatting sqref="P142">
    <cfRule type="cellIs" dxfId="405" priority="1101" operator="notEqual">
      <formula>ROUND(E146/E143*100,1)</formula>
    </cfRule>
  </conditionalFormatting>
  <conditionalFormatting sqref="Q142">
    <cfRule type="cellIs" dxfId="404" priority="1102" operator="notEqual">
      <formula>ROUND(F146/F143*100,1)</formula>
    </cfRule>
  </conditionalFormatting>
  <conditionalFormatting sqref="R142">
    <cfRule type="cellIs" dxfId="403" priority="1103" operator="notEqual">
      <formula>ROUND(K146/K145*100,1)</formula>
    </cfRule>
  </conditionalFormatting>
  <conditionalFormatting sqref="S142">
    <cfRule type="cellIs" dxfId="402" priority="1104" operator="notEqual">
      <formula>ROUND(L146/L145*100,1)</formula>
    </cfRule>
  </conditionalFormatting>
  <conditionalFormatting sqref="E143">
    <cfRule type="cellIs" dxfId="401" priority="1105" operator="notEqual">
      <formula>ROUND(SUM(E149:E150),1)</formula>
    </cfRule>
  </conditionalFormatting>
  <conditionalFormatting sqref="F143">
    <cfRule type="cellIs" dxfId="400" priority="1106" operator="notEqual">
      <formula>ROUND(SUM(F149:F150),1)</formula>
    </cfRule>
  </conditionalFormatting>
  <conditionalFormatting sqref="G143">
    <cfRule type="cellIs" dxfId="399" priority="1107" operator="notEqual">
      <formula>ROUND(SUM(G149:G150),1)</formula>
    </cfRule>
  </conditionalFormatting>
  <conditionalFormatting sqref="H143">
    <cfRule type="cellIs" dxfId="398" priority="1108" operator="notEqual">
      <formula>ROUND(SUM(H149:H150),1)</formula>
    </cfRule>
  </conditionalFormatting>
  <conditionalFormatting sqref="I143">
    <cfRule type="cellIs" dxfId="397" priority="1109" operator="notEqual">
      <formula>ROUND(G147/G6*100,1)</formula>
    </cfRule>
  </conditionalFormatting>
  <conditionalFormatting sqref="J143">
    <cfRule type="cellIs" dxfId="396" priority="1110" operator="notEqual">
      <formula>ROUND(H147/H6*100,1)</formula>
    </cfRule>
  </conditionalFormatting>
  <conditionalFormatting sqref="K143">
    <cfRule type="cellIs" dxfId="395" priority="1111" operator="notEqual">
      <formula>ROUND(G147/E147*1000,1)</formula>
    </cfRule>
  </conditionalFormatting>
  <conditionalFormatting sqref="L143">
    <cfRule type="cellIs" dxfId="394" priority="1112" operator="notEqual">
      <formula>ROUND(H147/F147*1000,1)</formula>
    </cfRule>
  </conditionalFormatting>
  <conditionalFormatting sqref="M143">
    <cfRule type="cellIs" dxfId="393" priority="1113" operator="notEqual">
      <formula>ROUND(K147/L147*100,1)</formula>
    </cfRule>
  </conditionalFormatting>
  <conditionalFormatting sqref="N143">
    <cfRule type="cellIs" dxfId="392" priority="1114" operator="notEqual">
      <formula>ROUND(E147/F147*100,1)</formula>
    </cfRule>
  </conditionalFormatting>
  <conditionalFormatting sqref="O143">
    <cfRule type="cellIs" dxfId="391" priority="1115" operator="notEqual">
      <formula>ROUND(G147/H147*100,1)</formula>
    </cfRule>
  </conditionalFormatting>
  <conditionalFormatting sqref="P143">
    <cfRule type="cellIs" dxfId="390" priority="1116" operator="notEqual">
      <formula>ROUND(SUM(P149:P150),1)</formula>
    </cfRule>
  </conditionalFormatting>
  <conditionalFormatting sqref="Q143">
    <cfRule type="cellIs" dxfId="389" priority="1117" operator="notEqual">
      <formula>ROUND(SUM(Q149:Q150),1)</formula>
    </cfRule>
  </conditionalFormatting>
  <conditionalFormatting sqref="I145">
    <cfRule type="cellIs" dxfId="388" priority="1118" operator="notEqual">
      <formula>ROUND(G149/G8*100,1)</formula>
    </cfRule>
  </conditionalFormatting>
  <conditionalFormatting sqref="J145">
    <cfRule type="cellIs" dxfId="387" priority="1119" operator="notEqual">
      <formula>ROUND(H149/H8*100,1)</formula>
    </cfRule>
  </conditionalFormatting>
  <conditionalFormatting sqref="K145">
    <cfRule type="cellIs" dxfId="386" priority="1120" operator="notEqual">
      <formula>ROUND(G149/E149*1000,1)</formula>
    </cfRule>
  </conditionalFormatting>
  <conditionalFormatting sqref="L145">
    <cfRule type="cellIs" dxfId="385" priority="1121" operator="notEqual">
      <formula>ROUND(H149/F149*1000,1)</formula>
    </cfRule>
  </conditionalFormatting>
  <conditionalFormatting sqref="M145">
    <cfRule type="cellIs" dxfId="384" priority="1122" operator="notEqual">
      <formula>ROUND(K149/L149*100,1)</formula>
    </cfRule>
  </conditionalFormatting>
  <conditionalFormatting sqref="N145">
    <cfRule type="cellIs" dxfId="383" priority="1123" operator="notEqual">
      <formula>ROUND(E149/F149*100,1)</formula>
    </cfRule>
  </conditionalFormatting>
  <conditionalFormatting sqref="O145">
    <cfRule type="cellIs" dxfId="382" priority="1124" operator="notEqual">
      <formula>ROUND(G149/H149*100,1)</formula>
    </cfRule>
  </conditionalFormatting>
  <conditionalFormatting sqref="P145">
    <cfRule type="cellIs" dxfId="381" priority="1125" operator="notEqual">
      <formula>ROUND(E149/E147*100,1)</formula>
    </cfRule>
  </conditionalFormatting>
  <conditionalFormatting sqref="Q145">
    <cfRule type="cellIs" dxfId="380" priority="1126" operator="notEqual">
      <formula>ROUND(F149/F147*100,1)</formula>
    </cfRule>
  </conditionalFormatting>
  <conditionalFormatting sqref="R145">
    <cfRule type="cellIs" dxfId="379" priority="1127" operator="notEqual">
      <formula>ROUND(K149/K150*100,1)</formula>
    </cfRule>
  </conditionalFormatting>
  <conditionalFormatting sqref="S145">
    <cfRule type="cellIs" dxfId="378" priority="1128" operator="notEqual">
      <formula>ROUND(L149/L150*100,1)</formula>
    </cfRule>
  </conditionalFormatting>
  <conditionalFormatting sqref="I146">
    <cfRule type="cellIs" dxfId="377" priority="1129" operator="notEqual">
      <formula>ROUND(G150/G9*100,1)</formula>
    </cfRule>
  </conditionalFormatting>
  <conditionalFormatting sqref="J146">
    <cfRule type="cellIs" dxfId="376" priority="1130" operator="notEqual">
      <formula>ROUND(H150/H9*100,1)</formula>
    </cfRule>
  </conditionalFormatting>
  <conditionalFormatting sqref="K146">
    <cfRule type="cellIs" dxfId="375" priority="1131" operator="notEqual">
      <formula>ROUND(G150/E150*1000,1)</formula>
    </cfRule>
  </conditionalFormatting>
  <conditionalFormatting sqref="L146">
    <cfRule type="cellIs" dxfId="374" priority="1132" operator="notEqual">
      <formula>ROUND(H150/F150*1000,1)</formula>
    </cfRule>
  </conditionalFormatting>
  <conditionalFormatting sqref="M146">
    <cfRule type="cellIs" dxfId="373" priority="1133" operator="notEqual">
      <formula>ROUND(K150/L150*100,1)</formula>
    </cfRule>
  </conditionalFormatting>
  <conditionalFormatting sqref="N146">
    <cfRule type="cellIs" dxfId="372" priority="1134" operator="notEqual">
      <formula>ROUND(E150/F150*100,1)</formula>
    </cfRule>
  </conditionalFormatting>
  <conditionalFormatting sqref="O146">
    <cfRule type="cellIs" dxfId="371" priority="1135" operator="notEqual">
      <formula>ROUND(G150/H150*100,1)</formula>
    </cfRule>
  </conditionalFormatting>
  <conditionalFormatting sqref="P146">
    <cfRule type="cellIs" dxfId="370" priority="1136" operator="notEqual">
      <formula>ROUND(E150/E147*100,1)</formula>
    </cfRule>
  </conditionalFormatting>
  <conditionalFormatting sqref="Q146">
    <cfRule type="cellIs" dxfId="369" priority="1137" operator="notEqual">
      <formula>ROUND(F150/F147*100,1)</formula>
    </cfRule>
  </conditionalFormatting>
  <conditionalFormatting sqref="R146">
    <cfRule type="cellIs" dxfId="368" priority="1138" operator="notEqual">
      <formula>ROUND(K150/K149*100,1)</formula>
    </cfRule>
  </conditionalFormatting>
  <conditionalFormatting sqref="S146">
    <cfRule type="cellIs" dxfId="367" priority="1139" operator="notEqual">
      <formula>ROUND(L150/L149*100,1)</formula>
    </cfRule>
  </conditionalFormatting>
  <conditionalFormatting sqref="E147">
    <cfRule type="cellIs" dxfId="366" priority="1140" operator="notEqual">
      <formula>ROUND(SUM(E153:E154),1)</formula>
    </cfRule>
  </conditionalFormatting>
  <conditionalFormatting sqref="F147">
    <cfRule type="cellIs" dxfId="365" priority="1141" operator="notEqual">
      <formula>ROUND(SUM(F153:F154),1)</formula>
    </cfRule>
  </conditionalFormatting>
  <conditionalFormatting sqref="G147">
    <cfRule type="cellIs" dxfId="364" priority="1142" operator="notEqual">
      <formula>ROUND(SUM(G153:G154),1)</formula>
    </cfRule>
  </conditionalFormatting>
  <conditionalFormatting sqref="H147">
    <cfRule type="cellIs" dxfId="363" priority="1143" operator="notEqual">
      <formula>ROUND(SUM(H153:H154),1)</formula>
    </cfRule>
  </conditionalFormatting>
  <conditionalFormatting sqref="I147">
    <cfRule type="cellIs" dxfId="362" priority="1144" operator="notEqual">
      <formula>ROUND(G151/G6*100,1)</formula>
    </cfRule>
  </conditionalFormatting>
  <conditionalFormatting sqref="J147">
    <cfRule type="cellIs" dxfId="361" priority="1145" operator="notEqual">
      <formula>ROUND(H151/H6*100,1)</formula>
    </cfRule>
  </conditionalFormatting>
  <conditionalFormatting sqref="K147">
    <cfRule type="cellIs" dxfId="360" priority="1146" operator="notEqual">
      <formula>ROUND(G151/E151*1000,1)</formula>
    </cfRule>
  </conditionalFormatting>
  <conditionalFormatting sqref="L147">
    <cfRule type="cellIs" dxfId="359" priority="1147" operator="notEqual">
      <formula>ROUND(H151/F151*1000,1)</formula>
    </cfRule>
  </conditionalFormatting>
  <conditionalFormatting sqref="M147">
    <cfRule type="cellIs" dxfId="358" priority="1148" operator="notEqual">
      <formula>ROUND(K151/L151*100,1)</formula>
    </cfRule>
  </conditionalFormatting>
  <conditionalFormatting sqref="N147">
    <cfRule type="cellIs" dxfId="357" priority="1149" operator="notEqual">
      <formula>ROUND(E151/F151*100,1)</formula>
    </cfRule>
  </conditionalFormatting>
  <conditionalFormatting sqref="O147">
    <cfRule type="cellIs" dxfId="356" priority="1150" operator="notEqual">
      <formula>ROUND(G151/H151*100,1)</formula>
    </cfRule>
  </conditionalFormatting>
  <conditionalFormatting sqref="P147">
    <cfRule type="cellIs" dxfId="355" priority="1151" operator="notEqual">
      <formula>ROUND(SUM(P153:P154),1)</formula>
    </cfRule>
  </conditionalFormatting>
  <conditionalFormatting sqref="Q147">
    <cfRule type="cellIs" dxfId="354" priority="1152" operator="notEqual">
      <formula>ROUND(SUM(Q153:Q154),1)</formula>
    </cfRule>
  </conditionalFormatting>
  <conditionalFormatting sqref="I149">
    <cfRule type="cellIs" dxfId="353" priority="1153" operator="notEqual">
      <formula>ROUND(G153/G8*100,1)</formula>
    </cfRule>
  </conditionalFormatting>
  <conditionalFormatting sqref="J149">
    <cfRule type="cellIs" dxfId="352" priority="1154" operator="notEqual">
      <formula>ROUND(H153/H8*100,1)</formula>
    </cfRule>
  </conditionalFormatting>
  <conditionalFormatting sqref="K149">
    <cfRule type="cellIs" dxfId="351" priority="1155" operator="notEqual">
      <formula>ROUND(G153/E153*1000,1)</formula>
    </cfRule>
  </conditionalFormatting>
  <conditionalFormatting sqref="L149">
    <cfRule type="cellIs" dxfId="350" priority="1156" operator="notEqual">
      <formula>ROUND(H153/F153*1000,1)</formula>
    </cfRule>
  </conditionalFormatting>
  <conditionalFormatting sqref="M149">
    <cfRule type="cellIs" dxfId="349" priority="1157" operator="notEqual">
      <formula>ROUND(K153/L153*100,1)</formula>
    </cfRule>
  </conditionalFormatting>
  <conditionalFormatting sqref="N149">
    <cfRule type="cellIs" dxfId="348" priority="1158" operator="notEqual">
      <formula>ROUND(E153/F153*100,1)</formula>
    </cfRule>
  </conditionalFormatting>
  <conditionalFormatting sqref="O149">
    <cfRule type="cellIs" dxfId="347" priority="1159" operator="notEqual">
      <formula>ROUND(G153/H153*100,1)</formula>
    </cfRule>
  </conditionalFormatting>
  <conditionalFormatting sqref="P149">
    <cfRule type="cellIs" dxfId="346" priority="1160" operator="notEqual">
      <formula>ROUND(E153/E151*100,1)</formula>
    </cfRule>
  </conditionalFormatting>
  <conditionalFormatting sqref="Q149">
    <cfRule type="cellIs" dxfId="345" priority="1161" operator="notEqual">
      <formula>ROUND(F153/F151*100,1)</formula>
    </cfRule>
  </conditionalFormatting>
  <conditionalFormatting sqref="R149">
    <cfRule type="cellIs" dxfId="344" priority="1162" operator="notEqual">
      <formula>ROUND(K153/K154*100,1)</formula>
    </cfRule>
  </conditionalFormatting>
  <conditionalFormatting sqref="S149">
    <cfRule type="cellIs" dxfId="343" priority="1163" operator="notEqual">
      <formula>ROUND(L153/L154*100,1)</formula>
    </cfRule>
  </conditionalFormatting>
  <conditionalFormatting sqref="I150">
    <cfRule type="cellIs" dxfId="342" priority="1164" operator="notEqual">
      <formula>ROUND(G154/G9*100,1)</formula>
    </cfRule>
  </conditionalFormatting>
  <conditionalFormatting sqref="J150">
    <cfRule type="cellIs" dxfId="341" priority="1165" operator="notEqual">
      <formula>ROUND(H154/H9*100,1)</formula>
    </cfRule>
  </conditionalFormatting>
  <conditionalFormatting sqref="K150">
    <cfRule type="cellIs" dxfId="340" priority="1166" operator="notEqual">
      <formula>ROUND(G154/E154*1000,1)</formula>
    </cfRule>
  </conditionalFormatting>
  <conditionalFormatting sqref="L150">
    <cfRule type="cellIs" dxfId="339" priority="1167" operator="notEqual">
      <formula>ROUND(H154/F154*1000,1)</formula>
    </cfRule>
  </conditionalFormatting>
  <conditionalFormatting sqref="M150">
    <cfRule type="cellIs" dxfId="338" priority="1168" operator="notEqual">
      <formula>ROUND(K154/L154*100,1)</formula>
    </cfRule>
  </conditionalFormatting>
  <conditionalFormatting sqref="N150">
    <cfRule type="cellIs" dxfId="337" priority="1169" operator="notEqual">
      <formula>ROUND(E154/F154*100,1)</formula>
    </cfRule>
  </conditionalFormatting>
  <conditionalFormatting sqref="O150">
    <cfRule type="cellIs" dxfId="336" priority="1170" operator="notEqual">
      <formula>ROUND(G154/H154*100,1)</formula>
    </cfRule>
  </conditionalFormatting>
  <conditionalFormatting sqref="P150">
    <cfRule type="cellIs" dxfId="335" priority="1171" operator="notEqual">
      <formula>ROUND(E154/E151*100,1)</formula>
    </cfRule>
  </conditionalFormatting>
  <conditionalFormatting sqref="Q150">
    <cfRule type="cellIs" dxfId="334" priority="1172" operator="notEqual">
      <formula>ROUND(F154/F151*100,1)</formula>
    </cfRule>
  </conditionalFormatting>
  <conditionalFormatting sqref="R150">
    <cfRule type="cellIs" dxfId="333" priority="1173" operator="notEqual">
      <formula>ROUND(K154/K153*100,1)</formula>
    </cfRule>
  </conditionalFormatting>
  <conditionalFormatting sqref="S150">
    <cfRule type="cellIs" dxfId="332" priority="1174" operator="notEqual">
      <formula>ROUND(L154/L153*100,1)</formula>
    </cfRule>
  </conditionalFormatting>
  <conditionalFormatting sqref="E151">
    <cfRule type="cellIs" dxfId="331" priority="1175" operator="notEqual">
      <formula>ROUND(SUM(E157:E158),1)</formula>
    </cfRule>
  </conditionalFormatting>
  <conditionalFormatting sqref="F151">
    <cfRule type="cellIs" dxfId="330" priority="1176" operator="notEqual">
      <formula>ROUND(SUM(F157:F158),1)</formula>
    </cfRule>
  </conditionalFormatting>
  <conditionalFormatting sqref="G151">
    <cfRule type="cellIs" dxfId="329" priority="1177" operator="notEqual">
      <formula>ROUND(SUM(G157:G158),1)</formula>
    </cfRule>
  </conditionalFormatting>
  <conditionalFormatting sqref="H151">
    <cfRule type="cellIs" dxfId="328" priority="1178" operator="notEqual">
      <formula>ROUND(SUM(H157:H158),1)</formula>
    </cfRule>
  </conditionalFormatting>
  <conditionalFormatting sqref="I151">
    <cfRule type="cellIs" dxfId="327" priority="1179" operator="notEqual">
      <formula>ROUND(G155/G6*100,1)</formula>
    </cfRule>
  </conditionalFormatting>
  <conditionalFormatting sqref="J151">
    <cfRule type="cellIs" dxfId="326" priority="1180" operator="notEqual">
      <formula>ROUND(H155/H6*100,1)</formula>
    </cfRule>
  </conditionalFormatting>
  <conditionalFormatting sqref="K151">
    <cfRule type="cellIs" dxfId="325" priority="1181" operator="notEqual">
      <formula>ROUND(G155/E155*1000,1)</formula>
    </cfRule>
  </conditionalFormatting>
  <conditionalFormatting sqref="L151">
    <cfRule type="cellIs" dxfId="324" priority="1182" operator="notEqual">
      <formula>ROUND(H155/F155*1000,1)</formula>
    </cfRule>
  </conditionalFormatting>
  <conditionalFormatting sqref="M151">
    <cfRule type="cellIs" dxfId="323" priority="1183" operator="notEqual">
      <formula>ROUND(K155/L155*100,1)</formula>
    </cfRule>
  </conditionalFormatting>
  <conditionalFormatting sqref="N151">
    <cfRule type="cellIs" dxfId="322" priority="1184" operator="notEqual">
      <formula>ROUND(E155/F155*100,1)</formula>
    </cfRule>
  </conditionalFormatting>
  <conditionalFormatting sqref="O151">
    <cfRule type="cellIs" dxfId="321" priority="1185" operator="notEqual">
      <formula>ROUND(G155/H155*100,1)</formula>
    </cfRule>
  </conditionalFormatting>
  <conditionalFormatting sqref="P151">
    <cfRule type="cellIs" dxfId="320" priority="1186" operator="notEqual">
      <formula>ROUND(SUM(P157:P158),1)</formula>
    </cfRule>
  </conditionalFormatting>
  <conditionalFormatting sqref="Q151">
    <cfRule type="cellIs" dxfId="319" priority="1187" operator="notEqual">
      <formula>ROUND(SUM(Q157:Q158),1)</formula>
    </cfRule>
  </conditionalFormatting>
  <conditionalFormatting sqref="I153">
    <cfRule type="cellIs" dxfId="318" priority="1188" operator="notEqual">
      <formula>ROUND(G157/G8*100,1)</formula>
    </cfRule>
  </conditionalFormatting>
  <conditionalFormatting sqref="J153">
    <cfRule type="cellIs" dxfId="317" priority="1189" operator="notEqual">
      <formula>ROUND(H157/H8*100,1)</formula>
    </cfRule>
  </conditionalFormatting>
  <conditionalFormatting sqref="K153">
    <cfRule type="cellIs" dxfId="316" priority="1190" operator="notEqual">
      <formula>ROUND(G157/E157*1000,1)</formula>
    </cfRule>
  </conditionalFormatting>
  <conditionalFormatting sqref="L153">
    <cfRule type="cellIs" dxfId="315" priority="1191" operator="notEqual">
      <formula>ROUND(H157/F157*1000,1)</formula>
    </cfRule>
  </conditionalFormatting>
  <conditionalFormatting sqref="M153">
    <cfRule type="cellIs" dxfId="314" priority="1192" operator="notEqual">
      <formula>ROUND(K157/L157*100,1)</formula>
    </cfRule>
  </conditionalFormatting>
  <conditionalFormatting sqref="N153">
    <cfRule type="cellIs" dxfId="313" priority="1193" operator="notEqual">
      <formula>ROUND(E157/F157*100,1)</formula>
    </cfRule>
  </conditionalFormatting>
  <conditionalFormatting sqref="O153">
    <cfRule type="cellIs" dxfId="312" priority="1194" operator="notEqual">
      <formula>ROUND(G157/H157*100,1)</formula>
    </cfRule>
  </conditionalFormatting>
  <conditionalFormatting sqref="P153">
    <cfRule type="cellIs" dxfId="311" priority="1195" operator="notEqual">
      <formula>ROUND(E157/E155*100,1)</formula>
    </cfRule>
  </conditionalFormatting>
  <conditionalFormatting sqref="Q153">
    <cfRule type="cellIs" dxfId="310" priority="1196" operator="notEqual">
      <formula>ROUND(F157/F155*100,1)</formula>
    </cfRule>
  </conditionalFormatting>
  <conditionalFormatting sqref="R153">
    <cfRule type="cellIs" dxfId="309" priority="1197" operator="notEqual">
      <formula>ROUND(K157/K158*100,1)</formula>
    </cfRule>
  </conditionalFormatting>
  <conditionalFormatting sqref="S153">
    <cfRule type="cellIs" dxfId="308" priority="1198" operator="notEqual">
      <formula>ROUND(L157/L158*100,1)</formula>
    </cfRule>
  </conditionalFormatting>
  <conditionalFormatting sqref="I154">
    <cfRule type="cellIs" dxfId="307" priority="1199" operator="notEqual">
      <formula>ROUND(G158/G9*100,1)</formula>
    </cfRule>
  </conditionalFormatting>
  <conditionalFormatting sqref="J154">
    <cfRule type="cellIs" dxfId="306" priority="1200" operator="notEqual">
      <formula>ROUND(H158/H9*100,1)</formula>
    </cfRule>
  </conditionalFormatting>
  <conditionalFormatting sqref="K154">
    <cfRule type="cellIs" dxfId="305" priority="1201" operator="notEqual">
      <formula>ROUND(G158/E158*1000,1)</formula>
    </cfRule>
  </conditionalFormatting>
  <conditionalFormatting sqref="L154">
    <cfRule type="cellIs" dxfId="304" priority="1202" operator="notEqual">
      <formula>ROUND(H158/F158*1000,1)</formula>
    </cfRule>
  </conditionalFormatting>
  <conditionalFormatting sqref="M154">
    <cfRule type="cellIs" dxfId="303" priority="1203" operator="notEqual">
      <formula>ROUND(K158/L158*100,1)</formula>
    </cfRule>
  </conditionalFormatting>
  <conditionalFormatting sqref="N154">
    <cfRule type="cellIs" dxfId="302" priority="1204" operator="notEqual">
      <formula>ROUND(E158/F158*100,1)</formula>
    </cfRule>
  </conditionalFormatting>
  <conditionalFormatting sqref="O154">
    <cfRule type="cellIs" dxfId="301" priority="1205" operator="notEqual">
      <formula>ROUND(G158/H158*100,1)</formula>
    </cfRule>
  </conditionalFormatting>
  <conditionalFormatting sqref="P154">
    <cfRule type="cellIs" dxfId="300" priority="1206" operator="notEqual">
      <formula>ROUND(E158/E155*100,1)</formula>
    </cfRule>
  </conditionalFormatting>
  <conditionalFormatting sqref="Q154">
    <cfRule type="cellIs" dxfId="299" priority="1207" operator="notEqual">
      <formula>ROUND(F158/F155*100,1)</formula>
    </cfRule>
  </conditionalFormatting>
  <conditionalFormatting sqref="R154">
    <cfRule type="cellIs" dxfId="298" priority="1208" operator="notEqual">
      <formula>ROUND(K158/K157*100,1)</formula>
    </cfRule>
  </conditionalFormatting>
  <conditionalFormatting sqref="S154">
    <cfRule type="cellIs" dxfId="297" priority="1209" operator="notEqual">
      <formula>ROUND(L158/L157*100,1)</formula>
    </cfRule>
  </conditionalFormatting>
  <conditionalFormatting sqref="E155">
    <cfRule type="cellIs" dxfId="296" priority="1210" operator="notEqual">
      <formula>ROUND(SUM(E161:E162),1)</formula>
    </cfRule>
  </conditionalFormatting>
  <conditionalFormatting sqref="F155">
    <cfRule type="cellIs" dxfId="295" priority="1211" operator="notEqual">
      <formula>ROUND(SUM(F161:F162),1)</formula>
    </cfRule>
  </conditionalFormatting>
  <conditionalFormatting sqref="G155">
    <cfRule type="cellIs" dxfId="294" priority="1212" operator="notEqual">
      <formula>ROUND(SUM(G161:G162),1)</formula>
    </cfRule>
  </conditionalFormatting>
  <conditionalFormatting sqref="H155">
    <cfRule type="cellIs" dxfId="293" priority="1213" operator="notEqual">
      <formula>ROUND(SUM(H161:H162),1)</formula>
    </cfRule>
  </conditionalFormatting>
  <conditionalFormatting sqref="I155">
    <cfRule type="cellIs" dxfId="292" priority="1214" operator="notEqual">
      <formula>ROUND(G159/G6*100,1)</formula>
    </cfRule>
  </conditionalFormatting>
  <conditionalFormatting sqref="J155">
    <cfRule type="cellIs" dxfId="291" priority="1215" operator="notEqual">
      <formula>ROUND(H159/H6*100,1)</formula>
    </cfRule>
  </conditionalFormatting>
  <conditionalFormatting sqref="K155">
    <cfRule type="cellIs" dxfId="290" priority="1216" operator="notEqual">
      <formula>ROUND(G159/E159*1000,1)</formula>
    </cfRule>
  </conditionalFormatting>
  <conditionalFormatting sqref="L155">
    <cfRule type="cellIs" dxfId="289" priority="1217" operator="notEqual">
      <formula>ROUND(H159/F159*1000,1)</formula>
    </cfRule>
  </conditionalFormatting>
  <conditionalFormatting sqref="M155">
    <cfRule type="cellIs" dxfId="288" priority="1218" operator="notEqual">
      <formula>ROUND(K159/L159*100,1)</formula>
    </cfRule>
  </conditionalFormatting>
  <conditionalFormatting sqref="N155">
    <cfRule type="cellIs" dxfId="287" priority="1219" operator="notEqual">
      <formula>ROUND(E159/F159*100,1)</formula>
    </cfRule>
  </conditionalFormatting>
  <conditionalFormatting sqref="O155">
    <cfRule type="cellIs" dxfId="286" priority="1220" operator="notEqual">
      <formula>ROUND(G159/H159*100,1)</formula>
    </cfRule>
  </conditionalFormatting>
  <conditionalFormatting sqref="P155">
    <cfRule type="cellIs" dxfId="285" priority="1221" operator="notEqual">
      <formula>ROUND(SUM(P161:P162),1)</formula>
    </cfRule>
  </conditionalFormatting>
  <conditionalFormatting sqref="Q155">
    <cfRule type="cellIs" dxfId="284" priority="1222" operator="notEqual">
      <formula>ROUND(SUM(Q161:Q162),1)</formula>
    </cfRule>
  </conditionalFormatting>
  <conditionalFormatting sqref="I157">
    <cfRule type="cellIs" dxfId="283" priority="1223" operator="notEqual">
      <formula>ROUND(G161/G8*100,1)</formula>
    </cfRule>
  </conditionalFormatting>
  <conditionalFormatting sqref="J157">
    <cfRule type="cellIs" dxfId="282" priority="1224" operator="notEqual">
      <formula>ROUND(H161/H8*100,1)</formula>
    </cfRule>
  </conditionalFormatting>
  <conditionalFormatting sqref="K157">
    <cfRule type="cellIs" dxfId="281" priority="1225" operator="notEqual">
      <formula>ROUND(G161/E161*1000,1)</formula>
    </cfRule>
  </conditionalFormatting>
  <conditionalFormatting sqref="L157">
    <cfRule type="cellIs" dxfId="280" priority="1226" operator="notEqual">
      <formula>ROUND(H161/F161*1000,1)</formula>
    </cfRule>
  </conditionalFormatting>
  <conditionalFormatting sqref="M157">
    <cfRule type="cellIs" dxfId="279" priority="1227" operator="notEqual">
      <formula>ROUND(K161/L161*100,1)</formula>
    </cfRule>
  </conditionalFormatting>
  <conditionalFormatting sqref="N157">
    <cfRule type="cellIs" dxfId="278" priority="1228" operator="notEqual">
      <formula>ROUND(E161/F161*100,1)</formula>
    </cfRule>
  </conditionalFormatting>
  <conditionalFormatting sqref="O157">
    <cfRule type="cellIs" dxfId="277" priority="1229" operator="notEqual">
      <formula>ROUND(G161/H161*100,1)</formula>
    </cfRule>
  </conditionalFormatting>
  <conditionalFormatting sqref="P157">
    <cfRule type="cellIs" dxfId="276" priority="1230" operator="notEqual">
      <formula>ROUND(E161/E159*100,1)</formula>
    </cfRule>
  </conditionalFormatting>
  <conditionalFormatting sqref="Q157">
    <cfRule type="cellIs" dxfId="275" priority="1231" operator="notEqual">
      <formula>ROUND(F161/F159*100,1)</formula>
    </cfRule>
  </conditionalFormatting>
  <conditionalFormatting sqref="R157">
    <cfRule type="cellIs" dxfId="274" priority="1232" operator="notEqual">
      <formula>ROUND(K161/K162*100,1)</formula>
    </cfRule>
  </conditionalFormatting>
  <conditionalFormatting sqref="S157">
    <cfRule type="cellIs" dxfId="273" priority="1233" operator="notEqual">
      <formula>ROUND(L161/L162*100,1)</formula>
    </cfRule>
  </conditionalFormatting>
  <conditionalFormatting sqref="I158">
    <cfRule type="cellIs" dxfId="272" priority="1234" operator="notEqual">
      <formula>ROUND(G162/G9*100,1)</formula>
    </cfRule>
  </conditionalFormatting>
  <conditionalFormatting sqref="J158">
    <cfRule type="cellIs" dxfId="271" priority="1235" operator="notEqual">
      <formula>ROUND(H162/H9*100,1)</formula>
    </cfRule>
  </conditionalFormatting>
  <conditionalFormatting sqref="K158">
    <cfRule type="cellIs" dxfId="270" priority="1236" operator="notEqual">
      <formula>ROUND(G162/E162*1000,1)</formula>
    </cfRule>
  </conditionalFormatting>
  <conditionalFormatting sqref="L158">
    <cfRule type="cellIs" dxfId="269" priority="1237" operator="notEqual">
      <formula>ROUND(H162/F162*1000,1)</formula>
    </cfRule>
  </conditionalFormatting>
  <conditionalFormatting sqref="M158">
    <cfRule type="cellIs" dxfId="268" priority="1238" operator="notEqual">
      <formula>ROUND(K162/L162*100,1)</formula>
    </cfRule>
  </conditionalFormatting>
  <conditionalFormatting sqref="N158">
    <cfRule type="cellIs" dxfId="267" priority="1239" operator="notEqual">
      <formula>ROUND(E162/F162*100,1)</formula>
    </cfRule>
  </conditionalFormatting>
  <conditionalFormatting sqref="O158">
    <cfRule type="cellIs" dxfId="266" priority="1240" operator="notEqual">
      <formula>ROUND(G162/H162*100,1)</formula>
    </cfRule>
  </conditionalFormatting>
  <conditionalFormatting sqref="P158">
    <cfRule type="cellIs" dxfId="265" priority="1241" operator="notEqual">
      <formula>ROUND(E162/E159*100,1)</formula>
    </cfRule>
  </conditionalFormatting>
  <conditionalFormatting sqref="Q158">
    <cfRule type="cellIs" dxfId="264" priority="1242" operator="notEqual">
      <formula>ROUND(F162/F159*100,1)</formula>
    </cfRule>
  </conditionalFormatting>
  <conditionalFormatting sqref="R158">
    <cfRule type="cellIs" dxfId="263" priority="1243" operator="notEqual">
      <formula>ROUND(K162/K161*100,1)</formula>
    </cfRule>
  </conditionalFormatting>
  <conditionalFormatting sqref="S158">
    <cfRule type="cellIs" dxfId="262" priority="1244" operator="notEqual">
      <formula>ROUND(L162/L161*100,1)</formula>
    </cfRule>
  </conditionalFormatting>
  <conditionalFormatting sqref="E159">
    <cfRule type="cellIs" dxfId="261" priority="1245" operator="notEqual">
      <formula>ROUND(SUM(E169:E170),1)</formula>
    </cfRule>
  </conditionalFormatting>
  <conditionalFormatting sqref="F159">
    <cfRule type="cellIs" dxfId="260" priority="1246" operator="notEqual">
      <formula>ROUND(SUM(F169:F170),1)</formula>
    </cfRule>
  </conditionalFormatting>
  <conditionalFormatting sqref="G159">
    <cfRule type="cellIs" dxfId="259" priority="1247" operator="notEqual">
      <formula>ROUND(SUM(G169:G170),1)</formula>
    </cfRule>
  </conditionalFormatting>
  <conditionalFormatting sqref="H159">
    <cfRule type="cellIs" dxfId="258" priority="1248" operator="notEqual">
      <formula>ROUND(SUM(H169:H170),1)</formula>
    </cfRule>
  </conditionalFormatting>
  <conditionalFormatting sqref="I159">
    <cfRule type="cellIs" dxfId="257" priority="1249" operator="notEqual">
      <formula>ROUND(G167/G6*100,1)</formula>
    </cfRule>
  </conditionalFormatting>
  <conditionalFormatting sqref="J159">
    <cfRule type="cellIs" dxfId="256" priority="1250" operator="notEqual">
      <formula>ROUND(H167/H6*100,1)</formula>
    </cfRule>
  </conditionalFormatting>
  <conditionalFormatting sqref="K159">
    <cfRule type="cellIs" dxfId="255" priority="1251" operator="notEqual">
      <formula>ROUND(G167/E167*1000,1)</formula>
    </cfRule>
  </conditionalFormatting>
  <conditionalFormatting sqref="L159">
    <cfRule type="cellIs" dxfId="254" priority="1252" operator="notEqual">
      <formula>ROUND(H167/F167*1000,1)</formula>
    </cfRule>
  </conditionalFormatting>
  <conditionalFormatting sqref="M159">
    <cfRule type="cellIs" dxfId="253" priority="1253" operator="notEqual">
      <formula>ROUND(K167/L167*100,1)</formula>
    </cfRule>
  </conditionalFormatting>
  <conditionalFormatting sqref="N159">
    <cfRule type="cellIs" dxfId="252" priority="1254" operator="notEqual">
      <formula>ROUND(E167/F167*100,1)</formula>
    </cfRule>
  </conditionalFormatting>
  <conditionalFormatting sqref="O159">
    <cfRule type="cellIs" dxfId="251" priority="1255" operator="notEqual">
      <formula>ROUND(G167/H167*100,1)</formula>
    </cfRule>
  </conditionalFormatting>
  <conditionalFormatting sqref="P159">
    <cfRule type="cellIs" dxfId="250" priority="1256" operator="notEqual">
      <formula>ROUND(SUM(P169:P170),1)</formula>
    </cfRule>
  </conditionalFormatting>
  <conditionalFormatting sqref="Q159">
    <cfRule type="cellIs" dxfId="249" priority="1257" operator="notEqual">
      <formula>ROUND(SUM(Q169:Q170),1)</formula>
    </cfRule>
  </conditionalFormatting>
  <conditionalFormatting sqref="I161">
    <cfRule type="cellIs" dxfId="248" priority="1258" operator="notEqual">
      <formula>ROUND(G169/G8*100,1)</formula>
    </cfRule>
  </conditionalFormatting>
  <conditionalFormatting sqref="J161">
    <cfRule type="cellIs" dxfId="247" priority="1259" operator="notEqual">
      <formula>ROUND(H169/H8*100,1)</formula>
    </cfRule>
  </conditionalFormatting>
  <conditionalFormatting sqref="K161">
    <cfRule type="cellIs" dxfId="246" priority="1260" operator="notEqual">
      <formula>ROUND(G169/E169*1000,1)</formula>
    </cfRule>
  </conditionalFormatting>
  <conditionalFormatting sqref="L161">
    <cfRule type="cellIs" dxfId="245" priority="1261" operator="notEqual">
      <formula>ROUND(H169/F169*1000,1)</formula>
    </cfRule>
  </conditionalFormatting>
  <conditionalFormatting sqref="M161">
    <cfRule type="cellIs" dxfId="244" priority="1262" operator="notEqual">
      <formula>ROUND(K169/L169*100,1)</formula>
    </cfRule>
  </conditionalFormatting>
  <conditionalFormatting sqref="N161">
    <cfRule type="cellIs" dxfId="243" priority="1263" operator="notEqual">
      <formula>ROUND(E169/F169*100,1)</formula>
    </cfRule>
  </conditionalFormatting>
  <conditionalFormatting sqref="O161">
    <cfRule type="cellIs" dxfId="242" priority="1264" operator="notEqual">
      <formula>ROUND(G169/H169*100,1)</formula>
    </cfRule>
  </conditionalFormatting>
  <conditionalFormatting sqref="P161">
    <cfRule type="cellIs" dxfId="241" priority="1265" operator="notEqual">
      <formula>ROUND(E169/E162*100,1)</formula>
    </cfRule>
  </conditionalFormatting>
  <conditionalFormatting sqref="Q161">
    <cfRule type="cellIs" dxfId="240" priority="1266" operator="notEqual">
      <formula>ROUND(F169/F162*100,1)</formula>
    </cfRule>
  </conditionalFormatting>
  <conditionalFormatting sqref="R161">
    <cfRule type="cellIs" dxfId="239" priority="1267" operator="notEqual">
      <formula>ROUND(K169/K170*100,1)</formula>
    </cfRule>
  </conditionalFormatting>
  <conditionalFormatting sqref="S161">
    <cfRule type="cellIs" dxfId="238" priority="1268" operator="notEqual">
      <formula>ROUND(L169/L170*100,1)</formula>
    </cfRule>
  </conditionalFormatting>
  <conditionalFormatting sqref="I162">
    <cfRule type="cellIs" dxfId="237" priority="1269" operator="notEqual">
      <formula>ROUND(G170/G9*100,1)</formula>
    </cfRule>
  </conditionalFormatting>
  <conditionalFormatting sqref="J162">
    <cfRule type="cellIs" dxfId="236" priority="1270" operator="notEqual">
      <formula>ROUND(H170/H9*100,1)</formula>
    </cfRule>
  </conditionalFormatting>
  <conditionalFormatting sqref="K162">
    <cfRule type="cellIs" dxfId="235" priority="1271" operator="notEqual">
      <formula>ROUND(G170/E170*1000,1)</formula>
    </cfRule>
  </conditionalFormatting>
  <conditionalFormatting sqref="L162">
    <cfRule type="cellIs" dxfId="234" priority="1272" operator="notEqual">
      <formula>ROUND(H170/F170*1000,1)</formula>
    </cfRule>
  </conditionalFormatting>
  <conditionalFormatting sqref="M162">
    <cfRule type="cellIs" dxfId="233" priority="1273" operator="notEqual">
      <formula>ROUND(K170/L170*100,1)</formula>
    </cfRule>
  </conditionalFormatting>
  <conditionalFormatting sqref="N162">
    <cfRule type="cellIs" dxfId="232" priority="1274" operator="notEqual">
      <formula>ROUND(E170/F170*100,1)</formula>
    </cfRule>
  </conditionalFormatting>
  <conditionalFormatting sqref="O162">
    <cfRule type="cellIs" dxfId="231" priority="1275" operator="notEqual">
      <formula>ROUND(G170/H170*100,1)</formula>
    </cfRule>
  </conditionalFormatting>
  <conditionalFormatting sqref="P162">
    <cfRule type="cellIs" dxfId="230" priority="1276" operator="notEqual">
      <formula>ROUND(E170/E167*100,1)</formula>
    </cfRule>
  </conditionalFormatting>
  <conditionalFormatting sqref="Q162">
    <cfRule type="cellIs" dxfId="229" priority="1277" operator="notEqual">
      <formula>ROUND(F170/F167*100,1)</formula>
    </cfRule>
  </conditionalFormatting>
  <conditionalFormatting sqref="R162">
    <cfRule type="cellIs" dxfId="228" priority="1278" operator="notEqual">
      <formula>ROUND(K170/K169*100,1)</formula>
    </cfRule>
  </conditionalFormatting>
  <conditionalFormatting sqref="S162">
    <cfRule type="cellIs" dxfId="227" priority="1279" operator="notEqual">
      <formula>ROUND(L170/L169*100,1)</formula>
    </cfRule>
  </conditionalFormatting>
  <conditionalFormatting sqref="G163">
    <cfRule type="cellIs" dxfId="226" priority="1280" operator="notEqual">
      <formula>ROUND(SUM(G177:G178),1)</formula>
    </cfRule>
  </conditionalFormatting>
  <conditionalFormatting sqref="H163">
    <cfRule type="cellIs" dxfId="225" priority="1281" operator="notEqual">
      <formula>ROUND(SUM(H177:H178),1)</formula>
    </cfRule>
  </conditionalFormatting>
  <conditionalFormatting sqref="I163">
    <cfRule type="cellIs" dxfId="224" priority="1282" operator="notEqual">
      <formula>ROUND(G175/G6*100,1)</formula>
    </cfRule>
  </conditionalFormatting>
  <conditionalFormatting sqref="J163">
    <cfRule type="cellIs" dxfId="223" priority="1283" operator="notEqual">
      <formula>ROUND(H175/H6*100,1)</formula>
    </cfRule>
  </conditionalFormatting>
  <conditionalFormatting sqref="O163">
    <cfRule type="cellIs" dxfId="222" priority="1284" operator="notEqual">
      <formula>ROUND(G175/H175*100,1)</formula>
    </cfRule>
  </conditionalFormatting>
  <conditionalFormatting sqref="P163">
    <cfRule type="cellIs" dxfId="221" priority="1285" operator="notEqual">
      <formula>ROUND(SUM(P177:P178),1)</formula>
    </cfRule>
  </conditionalFormatting>
  <conditionalFormatting sqref="Q163">
    <cfRule type="cellIs" dxfId="220" priority="1286" operator="notEqual">
      <formula>ROUND(SUM(Q177:Q178),1)</formula>
    </cfRule>
  </conditionalFormatting>
  <conditionalFormatting sqref="I165">
    <cfRule type="cellIs" dxfId="219" priority="1287" operator="notEqual">
      <formula>ROUND(G177/G8*100,1)</formula>
    </cfRule>
  </conditionalFormatting>
  <conditionalFormatting sqref="J165">
    <cfRule type="cellIs" dxfId="218" priority="1288" operator="notEqual">
      <formula>ROUND(H177/H8*100,1)</formula>
    </cfRule>
  </conditionalFormatting>
  <conditionalFormatting sqref="O165">
    <cfRule type="cellIs" dxfId="217" priority="1289" operator="notEqual">
      <formula>ROUND(G177/H177*100,1)</formula>
    </cfRule>
  </conditionalFormatting>
  <conditionalFormatting sqref="P165">
    <cfRule type="cellIs" dxfId="216" priority="1290" operator="notEqual">
      <formula>ROUND(G177/G175*100,1)</formula>
    </cfRule>
  </conditionalFormatting>
  <conditionalFormatting sqref="Q165">
    <cfRule type="cellIs" dxfId="215" priority="1291" operator="notEqual">
      <formula>ROUND(H177/H175*100,1)</formula>
    </cfRule>
  </conditionalFormatting>
  <conditionalFormatting sqref="I166">
    <cfRule type="cellIs" dxfId="214" priority="1292" operator="notEqual">
      <formula>ROUND(G178/G9*100,1)</formula>
    </cfRule>
  </conditionalFormatting>
  <conditionalFormatting sqref="J166">
    <cfRule type="cellIs" dxfId="213" priority="1293" operator="notEqual">
      <formula>ROUND(H178/H9*100,1)</formula>
    </cfRule>
  </conditionalFormatting>
  <conditionalFormatting sqref="O166">
    <cfRule type="cellIs" dxfId="212" priority="1294" operator="notEqual">
      <formula>ROUND(G178/H178*100,1)</formula>
    </cfRule>
  </conditionalFormatting>
  <conditionalFormatting sqref="P166">
    <cfRule type="cellIs" dxfId="211" priority="1295" operator="notEqual">
      <formula>ROUND(G178/G175*100,1)</formula>
    </cfRule>
  </conditionalFormatting>
  <conditionalFormatting sqref="Q166">
    <cfRule type="cellIs" dxfId="210" priority="1296" operator="notEqual">
      <formula>ROUND(H178/H175*100,1)</formula>
    </cfRule>
  </conditionalFormatting>
  <conditionalFormatting sqref="E167">
    <cfRule type="cellIs" dxfId="209" priority="1297" operator="notEqual">
      <formula>ROUND(SUM(E181:E182),1)</formula>
    </cfRule>
  </conditionalFormatting>
  <conditionalFormatting sqref="F167">
    <cfRule type="cellIs" dxfId="208" priority="1298" operator="notEqual">
      <formula>ROUND(SUM(F181:F182),1)</formula>
    </cfRule>
  </conditionalFormatting>
  <conditionalFormatting sqref="G167">
    <cfRule type="cellIs" dxfId="207" priority="1299" operator="notEqual">
      <formula>ROUND(SUM(G181:G182),1)</formula>
    </cfRule>
  </conditionalFormatting>
  <conditionalFormatting sqref="H167">
    <cfRule type="cellIs" dxfId="206" priority="1300" operator="notEqual">
      <formula>ROUND(SUM(H189:H190),1)</formula>
    </cfRule>
  </conditionalFormatting>
  <conditionalFormatting sqref="I167">
    <cfRule type="cellIs" dxfId="205" priority="1301" operator="notEqual">
      <formula>ROUND(G179/G6*100,1)</formula>
    </cfRule>
  </conditionalFormatting>
  <conditionalFormatting sqref="J167">
    <cfRule type="cellIs" dxfId="204" priority="1302" operator="notEqual">
      <formula>ROUND(H179/H6*100,1)</formula>
    </cfRule>
  </conditionalFormatting>
  <conditionalFormatting sqref="K167">
    <cfRule type="cellIs" dxfId="203" priority="1303" operator="notEqual">
      <formula>ROUND(G179/E179*1000,1)</formula>
    </cfRule>
  </conditionalFormatting>
  <conditionalFormatting sqref="L167">
    <cfRule type="cellIs" dxfId="202" priority="1304" operator="notEqual">
      <formula>ROUND(H179/F179*1000,1)</formula>
    </cfRule>
  </conditionalFormatting>
  <conditionalFormatting sqref="M167">
    <cfRule type="cellIs" dxfId="201" priority="1305" operator="notEqual">
      <formula>ROUND(K179/L179*100,1)</formula>
    </cfRule>
  </conditionalFormatting>
  <conditionalFormatting sqref="N167">
    <cfRule type="cellIs" dxfId="200" priority="1306" operator="notEqual">
      <formula>ROUND(E179/F179*100,1)</formula>
    </cfRule>
  </conditionalFormatting>
  <conditionalFormatting sqref="O167">
    <cfRule type="cellIs" dxfId="199" priority="1307" operator="notEqual">
      <formula>ROUND(G179/H179*100,1)</formula>
    </cfRule>
  </conditionalFormatting>
  <conditionalFormatting sqref="P167">
    <cfRule type="cellIs" dxfId="198" priority="1308" operator="notEqual">
      <formula>ROUND(SUM(P181:P182),1)</formula>
    </cfRule>
  </conditionalFormatting>
  <conditionalFormatting sqref="Q167">
    <cfRule type="cellIs" dxfId="197" priority="1309" operator="notEqual">
      <formula>ROUND(SUM(Q181:Q182),1)</formula>
    </cfRule>
  </conditionalFormatting>
  <conditionalFormatting sqref="I169">
    <cfRule type="cellIs" dxfId="196" priority="1310" operator="notEqual">
      <formula>ROUND(G181/G8*100,1)</formula>
    </cfRule>
  </conditionalFormatting>
  <conditionalFormatting sqref="J169">
    <cfRule type="cellIs" dxfId="195" priority="1311" operator="notEqual">
      <formula>ROUND(H181/H8*100,1)</formula>
    </cfRule>
  </conditionalFormatting>
  <conditionalFormatting sqref="K169">
    <cfRule type="cellIs" dxfId="194" priority="1312" operator="notEqual">
      <formula>ROUND(G181/E181*1000,1)</formula>
    </cfRule>
  </conditionalFormatting>
  <conditionalFormatting sqref="L169">
    <cfRule type="cellIs" dxfId="193" priority="1313" operator="notEqual">
      <formula>ROUND(H181/F181*1000,1)</formula>
    </cfRule>
  </conditionalFormatting>
  <conditionalFormatting sqref="M169">
    <cfRule type="cellIs" dxfId="192" priority="1314" operator="notEqual">
      <formula>ROUND(K181/L181*100,1)</formula>
    </cfRule>
  </conditionalFormatting>
  <conditionalFormatting sqref="N169">
    <cfRule type="cellIs" dxfId="191" priority="1315" operator="notEqual">
      <formula>ROUND(E181/F181*100,1)</formula>
    </cfRule>
  </conditionalFormatting>
  <conditionalFormatting sqref="O169">
    <cfRule type="cellIs" dxfId="190" priority="1316" operator="notEqual">
      <formula>ROUND(G181/H181*100,1)</formula>
    </cfRule>
  </conditionalFormatting>
  <conditionalFormatting sqref="P169">
    <cfRule type="cellIs" dxfId="189" priority="1317" operator="notEqual">
      <formula>ROUND(E181/E179*100,1)</formula>
    </cfRule>
  </conditionalFormatting>
  <conditionalFormatting sqref="Q169">
    <cfRule type="cellIs" dxfId="188" priority="1318" operator="notEqual">
      <formula>ROUND(F181/F179*100,1)</formula>
    </cfRule>
  </conditionalFormatting>
  <conditionalFormatting sqref="R169">
    <cfRule type="cellIs" dxfId="187" priority="1319" operator="notEqual">
      <formula>ROUND(K181/K182*100,1)</formula>
    </cfRule>
  </conditionalFormatting>
  <conditionalFormatting sqref="S169">
    <cfRule type="cellIs" dxfId="186" priority="1320" operator="notEqual">
      <formula>ROUND(L181/L182*100,1)</formula>
    </cfRule>
  </conditionalFormatting>
  <conditionalFormatting sqref="I170">
    <cfRule type="cellIs" dxfId="185" priority="1321" operator="notEqual">
      <formula>ROUND(G182/G9*100,1)</formula>
    </cfRule>
  </conditionalFormatting>
  <conditionalFormatting sqref="J170">
    <cfRule type="cellIs" dxfId="184" priority="1322" operator="notEqual">
      <formula>ROUND(H182/H9*100,1)</formula>
    </cfRule>
  </conditionalFormatting>
  <conditionalFormatting sqref="K170">
    <cfRule type="cellIs" dxfId="183" priority="1323" operator="notEqual">
      <formula>ROUND(G182/E182*1000,1)</formula>
    </cfRule>
  </conditionalFormatting>
  <conditionalFormatting sqref="L170">
    <cfRule type="cellIs" dxfId="182" priority="1324" operator="notEqual">
      <formula>ROUND(H182/F182*1000,1)</formula>
    </cfRule>
  </conditionalFormatting>
  <conditionalFormatting sqref="M170">
    <cfRule type="cellIs" dxfId="181" priority="1325" operator="notEqual">
      <formula>ROUND(K182/L182*100,1)</formula>
    </cfRule>
  </conditionalFormatting>
  <conditionalFormatting sqref="N170">
    <cfRule type="cellIs" dxfId="180" priority="1326" operator="notEqual">
      <formula>ROUND(E182/F182*100,1)</formula>
    </cfRule>
  </conditionalFormatting>
  <conditionalFormatting sqref="O170">
    <cfRule type="cellIs" dxfId="179" priority="1327" operator="notEqual">
      <formula>ROUND(G182/H182*100,1)</formula>
    </cfRule>
  </conditionalFormatting>
  <conditionalFormatting sqref="P170">
    <cfRule type="cellIs" dxfId="178" priority="1328" operator="notEqual">
      <formula>ROUND(E182/E179*100,1)</formula>
    </cfRule>
  </conditionalFormatting>
  <conditionalFormatting sqref="Q170">
    <cfRule type="cellIs" dxfId="177" priority="1329" operator="notEqual">
      <formula>ROUND(F182/F179*100,1)</formula>
    </cfRule>
  </conditionalFormatting>
  <conditionalFormatting sqref="R170">
    <cfRule type="cellIs" dxfId="176" priority="1330" operator="notEqual">
      <formula>ROUND(K182/K183*100,1)</formula>
    </cfRule>
  </conditionalFormatting>
  <conditionalFormatting sqref="S170">
    <cfRule type="cellIs" dxfId="175" priority="1331" operator="notEqual">
      <formula>ROUND(L182/L183*100,1)</formula>
    </cfRule>
  </conditionalFormatting>
  <conditionalFormatting sqref="E171">
    <cfRule type="cellIs" dxfId="174" priority="1332" operator="notEqual">
      <formula>ROUND(SUM(E185:E186),1)</formula>
    </cfRule>
  </conditionalFormatting>
  <conditionalFormatting sqref="F171">
    <cfRule type="cellIs" dxfId="173" priority="1333" operator="notEqual">
      <formula>ROUND(SUM(F185:F186),1)</formula>
    </cfRule>
  </conditionalFormatting>
  <conditionalFormatting sqref="G171">
    <cfRule type="cellIs" dxfId="172" priority="1334" operator="notEqual">
      <formula>ROUND(SUM(G185:G186),1)</formula>
    </cfRule>
  </conditionalFormatting>
  <conditionalFormatting sqref="H171">
    <cfRule type="cellIs" dxfId="171" priority="1335" operator="notEqual">
      <formula>ROUND(SUM(H185:H186),1)</formula>
    </cfRule>
  </conditionalFormatting>
  <conditionalFormatting sqref="I171">
    <cfRule type="cellIs" dxfId="170" priority="1336" operator="notEqual">
      <formula>ROUND(G183/G6*100,1)</formula>
    </cfRule>
  </conditionalFormatting>
  <conditionalFormatting sqref="J171">
    <cfRule type="cellIs" dxfId="169" priority="1337" operator="notEqual">
      <formula>ROUND(H183/H6*100,1)</formula>
    </cfRule>
  </conditionalFormatting>
  <conditionalFormatting sqref="K171">
    <cfRule type="cellIs" dxfId="168" priority="1338" operator="notEqual">
      <formula>ROUND(G183/E183*100,1)</formula>
    </cfRule>
  </conditionalFormatting>
  <conditionalFormatting sqref="L171">
    <cfRule type="cellIs" dxfId="167" priority="1339" operator="notEqual">
      <formula>ROUND(H183/F183*100,1)</formula>
    </cfRule>
  </conditionalFormatting>
  <conditionalFormatting sqref="M171">
    <cfRule type="cellIs" dxfId="166" priority="1340" operator="notEqual">
      <formula>ROUND(K183/L183*100,1)</formula>
    </cfRule>
  </conditionalFormatting>
  <conditionalFormatting sqref="N171">
    <cfRule type="cellIs" dxfId="165" priority="1341" operator="notEqual">
      <formula>ROUND(E183/F183*100,1)</formula>
    </cfRule>
  </conditionalFormatting>
  <conditionalFormatting sqref="O171">
    <cfRule type="cellIs" dxfId="164" priority="1342" operator="notEqual">
      <formula>ROUND(G183/H183*100,1)</formula>
    </cfRule>
  </conditionalFormatting>
  <conditionalFormatting sqref="P171">
    <cfRule type="cellIs" dxfId="163" priority="1343" operator="notEqual">
      <formula>ROUND(SUM(P185:P186),1)</formula>
    </cfRule>
  </conditionalFormatting>
  <conditionalFormatting sqref="Q171">
    <cfRule type="cellIs" dxfId="162" priority="1344" operator="notEqual">
      <formula>ROUND(SUM(Q185:Q186),1)</formula>
    </cfRule>
  </conditionalFormatting>
  <conditionalFormatting sqref="I173">
    <cfRule type="cellIs" dxfId="161" priority="1345" operator="notEqual">
      <formula>ROUND(G185/G8*100,1)</formula>
    </cfRule>
  </conditionalFormatting>
  <conditionalFormatting sqref="J173">
    <cfRule type="cellIs" dxfId="160" priority="1346" operator="notEqual">
      <formula>ROUND(H185/H8*100,1)</formula>
    </cfRule>
  </conditionalFormatting>
  <conditionalFormatting sqref="K173">
    <cfRule type="cellIs" dxfId="159" priority="1347" operator="notEqual">
      <formula>ROUND(G185/E185*1000,1)</formula>
    </cfRule>
  </conditionalFormatting>
  <conditionalFormatting sqref="L173">
    <cfRule type="cellIs" dxfId="158" priority="1348" operator="notEqual">
      <formula>ROUND(H185/F185*1000,1)</formula>
    </cfRule>
  </conditionalFormatting>
  <conditionalFormatting sqref="M173">
    <cfRule type="cellIs" dxfId="157" priority="1349" operator="notEqual">
      <formula>ROUND(K185/L185*100,1)</formula>
    </cfRule>
  </conditionalFormatting>
  <conditionalFormatting sqref="N173">
    <cfRule type="cellIs" dxfId="156" priority="1350" operator="notEqual">
      <formula>ROUND(E185/F185*100,1)</formula>
    </cfRule>
  </conditionalFormatting>
  <conditionalFormatting sqref="O173">
    <cfRule type="cellIs" dxfId="155" priority="1351" operator="notEqual">
      <formula>ROUND(G185/H185*100,1)</formula>
    </cfRule>
  </conditionalFormatting>
  <conditionalFormatting sqref="P173">
    <cfRule type="cellIs" dxfId="154" priority="1352" operator="notEqual">
      <formula>ROUND(E185/E183*100,1)</formula>
    </cfRule>
  </conditionalFormatting>
  <conditionalFormatting sqref="Q173">
    <cfRule type="cellIs" dxfId="153" priority="1353" operator="notEqual">
      <formula>ROUND(F185/F183*100,1)</formula>
    </cfRule>
  </conditionalFormatting>
  <conditionalFormatting sqref="R173">
    <cfRule type="cellIs" dxfId="152" priority="1354" operator="notEqual">
      <formula>ROUND(K185/K186*100,1)</formula>
    </cfRule>
  </conditionalFormatting>
  <conditionalFormatting sqref="S173">
    <cfRule type="cellIs" dxfId="151" priority="1355" operator="notEqual">
      <formula>ROUND(L185/L186*100,1)</formula>
    </cfRule>
  </conditionalFormatting>
  <conditionalFormatting sqref="I174">
    <cfRule type="cellIs" dxfId="150" priority="1356" operator="notEqual">
      <formula>ROUND(G186/G9*100,1)</formula>
    </cfRule>
  </conditionalFormatting>
  <conditionalFormatting sqref="J174">
    <cfRule type="cellIs" dxfId="149" priority="1357" operator="notEqual">
      <formula>ROUND(H186/H9*100,1)</formula>
    </cfRule>
  </conditionalFormatting>
  <conditionalFormatting sqref="K174">
    <cfRule type="cellIs" dxfId="148" priority="1358" operator="notEqual">
      <formula>ROUND(G186/E186*1000,1)</formula>
    </cfRule>
  </conditionalFormatting>
  <conditionalFormatting sqref="L174">
    <cfRule type="cellIs" dxfId="147" priority="1359" operator="notEqual">
      <formula>ROUND(H186/F186*1000,1)</formula>
    </cfRule>
  </conditionalFormatting>
  <conditionalFormatting sqref="M174">
    <cfRule type="cellIs" dxfId="146" priority="1360" operator="notEqual">
      <formula>ROUND(K186/L186*100,1)</formula>
    </cfRule>
  </conditionalFormatting>
  <conditionalFormatting sqref="N174">
    <cfRule type="cellIs" dxfId="145" priority="1361" operator="notEqual">
      <formula>ROUND(E186/F186*100,1)</formula>
    </cfRule>
  </conditionalFormatting>
  <conditionalFormatting sqref="O174">
    <cfRule type="cellIs" dxfId="144" priority="1362" operator="notEqual">
      <formula>ROUND(G186/H186*100,1)</formula>
    </cfRule>
  </conditionalFormatting>
  <conditionalFormatting sqref="P174">
    <cfRule type="cellIs" dxfId="143" priority="1363" operator="notEqual">
      <formula>ROUND(E186/E183*100,1)</formula>
    </cfRule>
  </conditionalFormatting>
  <conditionalFormatting sqref="Q174">
    <cfRule type="cellIs" dxfId="142" priority="1364" operator="notEqual">
      <formula>ROUND(F186/F183*100,1)</formula>
    </cfRule>
  </conditionalFormatting>
  <conditionalFormatting sqref="R174">
    <cfRule type="cellIs" dxfId="141" priority="1365" operator="notEqual">
      <formula>ROUND(K186/K185*100,1)</formula>
    </cfRule>
  </conditionalFormatting>
  <conditionalFormatting sqref="S174">
    <cfRule type="cellIs" dxfId="140" priority="1366" operator="notEqual">
      <formula>ROUND(L186/L185*100,1)</formula>
    </cfRule>
  </conditionalFormatting>
  <conditionalFormatting sqref="E175">
    <cfRule type="cellIs" dxfId="139" priority="1367" operator="notEqual">
      <formula>ROUND(SUM(E189:E190),1)</formula>
    </cfRule>
  </conditionalFormatting>
  <conditionalFormatting sqref="F175">
    <cfRule type="cellIs" dxfId="138" priority="1368" operator="notEqual">
      <formula>ROUND(SUM(F189:F190),1)</formula>
    </cfRule>
  </conditionalFormatting>
  <conditionalFormatting sqref="G175">
    <cfRule type="cellIs" dxfId="137" priority="1369" operator="notEqual">
      <formula>ROUND(SUM(G189:G190),1)</formula>
    </cfRule>
  </conditionalFormatting>
  <conditionalFormatting sqref="H175">
    <cfRule type="cellIs" dxfId="136" priority="1370" operator="notEqual">
      <formula>ROUND(SUM(H197:H198),1)</formula>
    </cfRule>
  </conditionalFormatting>
  <conditionalFormatting sqref="I175">
    <cfRule type="cellIs" dxfId="135" priority="1371" operator="notEqual">
      <formula>ROUND(G187/G6*100,1)</formula>
    </cfRule>
  </conditionalFormatting>
  <conditionalFormatting sqref="J175">
    <cfRule type="cellIs" dxfId="134" priority="1372" operator="notEqual">
      <formula>ROUND(H187/H6*100,1)</formula>
    </cfRule>
  </conditionalFormatting>
  <conditionalFormatting sqref="K175">
    <cfRule type="cellIs" dxfId="133" priority="1373" operator="notEqual">
      <formula>ROUND(G187/E187*1000,1)</formula>
    </cfRule>
  </conditionalFormatting>
  <conditionalFormatting sqref="L175">
    <cfRule type="cellIs" dxfId="132" priority="1374" operator="notEqual">
      <formula>ROUND(H187/F187*1000,1)</formula>
    </cfRule>
  </conditionalFormatting>
  <conditionalFormatting sqref="M175">
    <cfRule type="cellIs" dxfId="131" priority="1375" operator="notEqual">
      <formula>ROUND(K187/L187*100,1)</formula>
    </cfRule>
  </conditionalFormatting>
  <conditionalFormatting sqref="N175">
    <cfRule type="cellIs" dxfId="130" priority="1376" operator="notEqual">
      <formula>ROUND(E187/F187*100,1)</formula>
    </cfRule>
  </conditionalFormatting>
  <conditionalFormatting sqref="O175">
    <cfRule type="cellIs" dxfId="129" priority="1377" operator="notEqual">
      <formula>ROUND(G187/H187*100,1)</formula>
    </cfRule>
  </conditionalFormatting>
  <conditionalFormatting sqref="P175">
    <cfRule type="cellIs" dxfId="128" priority="1378" operator="notEqual">
      <formula>ROUND(SUM(P189:P190),1)</formula>
    </cfRule>
  </conditionalFormatting>
  <conditionalFormatting sqref="Q175">
    <cfRule type="cellIs" dxfId="127" priority="1379" operator="notEqual">
      <formula>ROUND(SUM(Q189:Q190),1)</formula>
    </cfRule>
  </conditionalFormatting>
  <conditionalFormatting sqref="I177">
    <cfRule type="cellIs" dxfId="126" priority="1380" operator="notEqual">
      <formula>ROUND(G189/G8*100,1)</formula>
    </cfRule>
  </conditionalFormatting>
  <conditionalFormatting sqref="J177">
    <cfRule type="cellIs" dxfId="125" priority="1381" operator="notEqual">
      <formula>ROUND(H189/H8*100,1)</formula>
    </cfRule>
  </conditionalFormatting>
  <conditionalFormatting sqref="K177">
    <cfRule type="cellIs" dxfId="124" priority="1382" operator="notEqual">
      <formula>ROUND(G189/E189*1000,1)</formula>
    </cfRule>
  </conditionalFormatting>
  <conditionalFormatting sqref="L177">
    <cfRule type="cellIs" dxfId="123" priority="1383" operator="notEqual">
      <formula>ROUND(H189/F189*1000,1)</formula>
    </cfRule>
  </conditionalFormatting>
  <conditionalFormatting sqref="M177">
    <cfRule type="cellIs" dxfId="122" priority="1384" operator="notEqual">
      <formula>ROUND(K189/L189*100,1)</formula>
    </cfRule>
  </conditionalFormatting>
  <conditionalFormatting sqref="N177">
    <cfRule type="cellIs" dxfId="121" priority="1385" operator="notEqual">
      <formula>ROUND(E189/F189*100,1)</formula>
    </cfRule>
  </conditionalFormatting>
  <conditionalFormatting sqref="O177">
    <cfRule type="cellIs" dxfId="120" priority="1386" operator="notEqual">
      <formula>ROUND(G189/H189*100,1)</formula>
    </cfRule>
  </conditionalFormatting>
  <conditionalFormatting sqref="P177">
    <cfRule type="cellIs" dxfId="119" priority="1387" operator="notEqual">
      <formula>ROUND(E189/E187*100,1)</formula>
    </cfRule>
  </conditionalFormatting>
  <conditionalFormatting sqref="Q177">
    <cfRule type="cellIs" dxfId="118" priority="1388" operator="notEqual">
      <formula>ROUND(F189/F187*100,1)</formula>
    </cfRule>
  </conditionalFormatting>
  <conditionalFormatting sqref="R177">
    <cfRule type="cellIs" dxfId="117" priority="1389" operator="notEqual">
      <formula>ROUND(K189/K190*100,1)</formula>
    </cfRule>
  </conditionalFormatting>
  <conditionalFormatting sqref="S177">
    <cfRule type="cellIs" dxfId="116" priority="1390" operator="notEqual">
      <formula>ROUND(L189/L190*100,1)</formula>
    </cfRule>
  </conditionalFormatting>
  <conditionalFormatting sqref="I178">
    <cfRule type="cellIs" dxfId="115" priority="1391" operator="notEqual">
      <formula>ROUND(G190/G9*100,1)</formula>
    </cfRule>
  </conditionalFormatting>
  <conditionalFormatting sqref="J178">
    <cfRule type="cellIs" dxfId="114" priority="1392" operator="notEqual">
      <formula>ROUND(H190/H9*100,1)</formula>
    </cfRule>
  </conditionalFormatting>
  <conditionalFormatting sqref="K178">
    <cfRule type="cellIs" dxfId="113" priority="1393" operator="notEqual">
      <formula>ROUND(G190/E190*1000,1)</formula>
    </cfRule>
  </conditionalFormatting>
  <conditionalFormatting sqref="L178">
    <cfRule type="cellIs" dxfId="112" priority="1394" operator="notEqual">
      <formula>ROUND(H190/F190*1000,1)</formula>
    </cfRule>
  </conditionalFormatting>
  <conditionalFormatting sqref="M178">
    <cfRule type="cellIs" dxfId="111" priority="1395" operator="notEqual">
      <formula>ROUND(K190/L190*100,1)</formula>
    </cfRule>
  </conditionalFormatting>
  <conditionalFormatting sqref="N178">
    <cfRule type="cellIs" dxfId="110" priority="1396" operator="notEqual">
      <formula>ROUND(E190/F190*100,1)</formula>
    </cfRule>
  </conditionalFormatting>
  <conditionalFormatting sqref="O178">
    <cfRule type="cellIs" dxfId="109" priority="1397" operator="notEqual">
      <formula>ROUND(G190/H190*100,1)</formula>
    </cfRule>
  </conditionalFormatting>
  <conditionalFormatting sqref="P178">
    <cfRule type="cellIs" dxfId="108" priority="1398" operator="notEqual">
      <formula>ROUND(E190/E187*100,1)</formula>
    </cfRule>
  </conditionalFormatting>
  <conditionalFormatting sqref="Q178">
    <cfRule type="cellIs" dxfId="107" priority="1399" operator="notEqual">
      <formula>ROUND(F190/F187*100,1)</formula>
    </cfRule>
  </conditionalFormatting>
  <conditionalFormatting sqref="R178">
    <cfRule type="cellIs" dxfId="106" priority="1400" operator="notEqual">
      <formula>ROUND(K190/K189*100,1)</formula>
    </cfRule>
  </conditionalFormatting>
  <conditionalFormatting sqref="S178">
    <cfRule type="cellIs" dxfId="105" priority="1401" operator="notEqual">
      <formula>ROUND(L190/L189*100,1)</formula>
    </cfRule>
  </conditionalFormatting>
  <conditionalFormatting sqref="E179">
    <cfRule type="cellIs" dxfId="104" priority="1402" operator="notEqual">
      <formula>ROUND(SUM(E193:E194),1)</formula>
    </cfRule>
  </conditionalFormatting>
  <conditionalFormatting sqref="F179">
    <cfRule type="cellIs" dxfId="103" priority="1403" operator="notEqual">
      <formula>ROUND(SUM(F193:F194),1)</formula>
    </cfRule>
  </conditionalFormatting>
  <conditionalFormatting sqref="G179">
    <cfRule type="cellIs" dxfId="102" priority="1404" operator="notEqual">
      <formula>ROUND(SUM(G193:G194),1)</formula>
    </cfRule>
  </conditionalFormatting>
  <conditionalFormatting sqref="H179">
    <cfRule type="cellIs" dxfId="101" priority="1405" operator="notEqual">
      <formula>ROUND(SUM(H193:H194),1)</formula>
    </cfRule>
  </conditionalFormatting>
  <conditionalFormatting sqref="I179">
    <cfRule type="cellIs" dxfId="100" priority="1406" operator="notEqual">
      <formula>ROUND(G191/G6*100,1)</formula>
    </cfRule>
  </conditionalFormatting>
  <conditionalFormatting sqref="J179">
    <cfRule type="cellIs" dxfId="99" priority="1407" operator="notEqual">
      <formula>ROUND(H191/H6*100,1)</formula>
    </cfRule>
  </conditionalFormatting>
  <conditionalFormatting sqref="K179">
    <cfRule type="cellIs" dxfId="98" priority="1408" operator="notEqual">
      <formula>ROUND(G191/E191*1000,1)</formula>
    </cfRule>
  </conditionalFormatting>
  <conditionalFormatting sqref="L179">
    <cfRule type="cellIs" dxfId="97" priority="1409" operator="notEqual">
      <formula>ROUND(H191/F191*1000,1)</formula>
    </cfRule>
  </conditionalFormatting>
  <conditionalFormatting sqref="M179">
    <cfRule type="cellIs" dxfId="96" priority="1410" operator="notEqual">
      <formula>ROUND(K191/L191*100,1)</formula>
    </cfRule>
  </conditionalFormatting>
  <conditionalFormatting sqref="N179">
    <cfRule type="cellIs" dxfId="95" priority="1411" operator="notEqual">
      <formula>ROUND(E191/F191*100,1)</formula>
    </cfRule>
  </conditionalFormatting>
  <conditionalFormatting sqref="O179">
    <cfRule type="cellIs" dxfId="94" priority="1412" operator="notEqual">
      <formula>ROUND(G191/H191*100,1)</formula>
    </cfRule>
  </conditionalFormatting>
  <conditionalFormatting sqref="P179">
    <cfRule type="cellIs" dxfId="93" priority="1413" operator="notEqual">
      <formula>ROUND(SUM(P193:P194),1)</formula>
    </cfRule>
  </conditionalFormatting>
  <conditionalFormatting sqref="Q179">
    <cfRule type="cellIs" dxfId="92" priority="1414" operator="notEqual">
      <formula>ROUND(SUM(Q193:Q194),1)</formula>
    </cfRule>
  </conditionalFormatting>
  <conditionalFormatting sqref="I181">
    <cfRule type="cellIs" dxfId="91" priority="1415" operator="notEqual">
      <formula>ROUND(G193/G8*100,1)</formula>
    </cfRule>
  </conditionalFormatting>
  <conditionalFormatting sqref="J181">
    <cfRule type="cellIs" dxfId="90" priority="1416" operator="notEqual">
      <formula>ROUND(H193/H8*100,1)</formula>
    </cfRule>
  </conditionalFormatting>
  <conditionalFormatting sqref="K181">
    <cfRule type="cellIs" dxfId="89" priority="1417" operator="notEqual">
      <formula>ROUND(G193/E193*1000,1)</formula>
    </cfRule>
  </conditionalFormatting>
  <conditionalFormatting sqref="L181">
    <cfRule type="cellIs" dxfId="88" priority="1418" operator="notEqual">
      <formula>ROUND(H193/F193*1000,1)</formula>
    </cfRule>
  </conditionalFormatting>
  <conditionalFormatting sqref="M181">
    <cfRule type="cellIs" dxfId="87" priority="1419" operator="notEqual">
      <formula>ROUND(K193/L193*100,1)</formula>
    </cfRule>
  </conditionalFormatting>
  <conditionalFormatting sqref="N181">
    <cfRule type="cellIs" dxfId="86" priority="1420" operator="notEqual">
      <formula>ROUND(E193/F193*100,1)</formula>
    </cfRule>
  </conditionalFormatting>
  <conditionalFormatting sqref="O181">
    <cfRule type="cellIs" dxfId="85" priority="1421" operator="notEqual">
      <formula>ROUND(G193/H193*100,1)</formula>
    </cfRule>
  </conditionalFormatting>
  <conditionalFormatting sqref="P181">
    <cfRule type="cellIs" dxfId="84" priority="1422" operator="notEqual">
      <formula>ROUND(E193/E191*100,1)</formula>
    </cfRule>
  </conditionalFormatting>
  <conditionalFormatting sqref="Q181">
    <cfRule type="cellIs" dxfId="83" priority="1423" operator="notEqual">
      <formula>ROUND(F193/F191*100,1)</formula>
    </cfRule>
  </conditionalFormatting>
  <conditionalFormatting sqref="R181">
    <cfRule type="cellIs" dxfId="82" priority="1424" operator="notEqual">
      <formula>ROUND(K193/K194*100,1)</formula>
    </cfRule>
  </conditionalFormatting>
  <conditionalFormatting sqref="S181">
    <cfRule type="cellIs" dxfId="81" priority="1425" operator="notEqual">
      <formula>ROUND(L193/L194*100,1)</formula>
    </cfRule>
  </conditionalFormatting>
  <conditionalFormatting sqref="I182">
    <cfRule type="cellIs" dxfId="80" priority="1426" operator="notEqual">
      <formula>ROUND(G194/G9*100,1)</formula>
    </cfRule>
  </conditionalFormatting>
  <conditionalFormatting sqref="J182">
    <cfRule type="cellIs" dxfId="79" priority="1427" operator="notEqual">
      <formula>ROUND(H194/H9*100,1)</formula>
    </cfRule>
  </conditionalFormatting>
  <conditionalFormatting sqref="K182">
    <cfRule type="cellIs" dxfId="78" priority="1428" operator="notEqual">
      <formula>ROUND(G194/E194*1000,1)</formula>
    </cfRule>
  </conditionalFormatting>
  <conditionalFormatting sqref="L182">
    <cfRule type="cellIs" dxfId="77" priority="1429" operator="notEqual">
      <formula>ROUND(H194/F194*1000,1)</formula>
    </cfRule>
  </conditionalFormatting>
  <conditionalFormatting sqref="M182">
    <cfRule type="cellIs" dxfId="76" priority="1430" operator="notEqual">
      <formula>ROUND(K194/L194*100,1)</formula>
    </cfRule>
  </conditionalFormatting>
  <conditionalFormatting sqref="N182">
    <cfRule type="cellIs" dxfId="75" priority="1431" operator="notEqual">
      <formula>ROUND(E194/F194*100,1)</formula>
    </cfRule>
  </conditionalFormatting>
  <conditionalFormatting sqref="O182">
    <cfRule type="cellIs" dxfId="74" priority="1432" operator="notEqual">
      <formula>ROUND(G194/H194*100,1)</formula>
    </cfRule>
  </conditionalFormatting>
  <conditionalFormatting sqref="P182">
    <cfRule type="cellIs" dxfId="73" priority="1433" operator="notEqual">
      <formula>ROUND(E194/E191*100,1)</formula>
    </cfRule>
  </conditionalFormatting>
  <conditionalFormatting sqref="Q182">
    <cfRule type="cellIs" dxfId="72" priority="1434" operator="notEqual">
      <formula>ROUND(F194/F191*100,1)</formula>
    </cfRule>
  </conditionalFormatting>
  <conditionalFormatting sqref="R182">
    <cfRule type="cellIs" dxfId="71" priority="1435" operator="notEqual">
      <formula>ROUND(K194/K193*100,1)</formula>
    </cfRule>
  </conditionalFormatting>
  <conditionalFormatting sqref="S182">
    <cfRule type="cellIs" dxfId="70" priority="1436" operator="notEqual">
      <formula>ROUND(L194/L193*100,1)</formula>
    </cfRule>
  </conditionalFormatting>
  <conditionalFormatting sqref="E183">
    <cfRule type="cellIs" dxfId="69" priority="1437" operator="notEqual">
      <formula>ROUND(SUM(E197:E198),1)</formula>
    </cfRule>
  </conditionalFormatting>
  <conditionalFormatting sqref="F183">
    <cfRule type="cellIs" dxfId="68" priority="1438" operator="notEqual">
      <formula>ROUND(SUM(F197:F198),1)</formula>
    </cfRule>
  </conditionalFormatting>
  <conditionalFormatting sqref="G183">
    <cfRule type="cellIs" dxfId="67" priority="1439" operator="notEqual">
      <formula>ROUND(SUM(G197:G198),1)</formula>
    </cfRule>
  </conditionalFormatting>
  <conditionalFormatting sqref="H183">
    <cfRule type="cellIs" dxfId="66" priority="1440" operator="notEqual">
      <formula>ROUND(SUM(H197:H198),1)</formula>
    </cfRule>
  </conditionalFormatting>
  <conditionalFormatting sqref="I183">
    <cfRule type="cellIs" dxfId="65" priority="1441" operator="notEqual">
      <formula>ROUND(G195/G6*100,1)</formula>
    </cfRule>
  </conditionalFormatting>
  <conditionalFormatting sqref="J183">
    <cfRule type="cellIs" dxfId="64" priority="1442" operator="notEqual">
      <formula>ROUND(H195/H6*100,1)</formula>
    </cfRule>
  </conditionalFormatting>
  <conditionalFormatting sqref="K183">
    <cfRule type="cellIs" dxfId="63" priority="1443" operator="notEqual">
      <formula>ROUND(G195/E195*1000,1)</formula>
    </cfRule>
  </conditionalFormatting>
  <conditionalFormatting sqref="L183">
    <cfRule type="cellIs" dxfId="62" priority="1444" operator="notEqual">
      <formula>ROUND(H195/F195*1000,1)</formula>
    </cfRule>
  </conditionalFormatting>
  <conditionalFormatting sqref="M183">
    <cfRule type="cellIs" dxfId="61" priority="1445" operator="notEqual">
      <formula>ROUND(K195/L195*100,1)</formula>
    </cfRule>
  </conditionalFormatting>
  <conditionalFormatting sqref="N183">
    <cfRule type="cellIs" dxfId="60" priority="1446" operator="notEqual">
      <formula>ROUND(E195/F195*100,1)</formula>
    </cfRule>
  </conditionalFormatting>
  <conditionalFormatting sqref="O183">
    <cfRule type="cellIs" dxfId="59" priority="1447" operator="notEqual">
      <formula>ROUND(G195/H195*100,1)</formula>
    </cfRule>
  </conditionalFormatting>
  <conditionalFormatting sqref="P183">
    <cfRule type="cellIs" dxfId="58" priority="1448" operator="notEqual">
      <formula>ROUND(SUM(P197:P198),1)</formula>
    </cfRule>
  </conditionalFormatting>
  <conditionalFormatting sqref="Q183">
    <cfRule type="cellIs" dxfId="57" priority="1449" operator="notEqual">
      <formula>ROUND(SUM(Q197:Q198),1)</formula>
    </cfRule>
  </conditionalFormatting>
  <conditionalFormatting sqref="I185">
    <cfRule type="cellIs" dxfId="56" priority="1450" operator="notEqual">
      <formula>ROUND(G197/G8*100,1)</formula>
    </cfRule>
  </conditionalFormatting>
  <conditionalFormatting sqref="J185">
    <cfRule type="cellIs" dxfId="55" priority="1451" operator="notEqual">
      <formula>ROUND(H197/H8*100,1)</formula>
    </cfRule>
  </conditionalFormatting>
  <conditionalFormatting sqref="K185">
    <cfRule type="cellIs" dxfId="54" priority="1452" operator="notEqual">
      <formula>ROUND(G197/E197*1000,1)</formula>
    </cfRule>
  </conditionalFormatting>
  <conditionalFormatting sqref="L185">
    <cfRule type="cellIs" dxfId="53" priority="1453" operator="notEqual">
      <formula>ROUND(H197/F197*1000,1)</formula>
    </cfRule>
  </conditionalFormatting>
  <conditionalFormatting sqref="M185">
    <cfRule type="cellIs" dxfId="52" priority="1454" operator="notEqual">
      <formula>ROUND(K197/L197*100,1)</formula>
    </cfRule>
  </conditionalFormatting>
  <conditionalFormatting sqref="N185">
    <cfRule type="cellIs" dxfId="51" priority="1455" operator="notEqual">
      <formula>ROUND(E197/F197*100,1)</formula>
    </cfRule>
  </conditionalFormatting>
  <conditionalFormatting sqref="O185">
    <cfRule type="cellIs" dxfId="50" priority="1456" operator="notEqual">
      <formula>ROUND(G197/H197*100,1)</formula>
    </cfRule>
  </conditionalFormatting>
  <conditionalFormatting sqref="P185">
    <cfRule type="cellIs" dxfId="49" priority="1457" operator="notEqual">
      <formula>ROUND(E197/E195*100,1)</formula>
    </cfRule>
  </conditionalFormatting>
  <conditionalFormatting sqref="Q185">
    <cfRule type="cellIs" dxfId="48" priority="1458" operator="notEqual">
      <formula>ROUND(F197/F195*100,1)</formula>
    </cfRule>
  </conditionalFormatting>
  <conditionalFormatting sqref="R185">
    <cfRule type="cellIs" dxfId="47" priority="1459" operator="notEqual">
      <formula>ROUND(K197/K198*100,1)</formula>
    </cfRule>
  </conditionalFormatting>
  <conditionalFormatting sqref="S185">
    <cfRule type="cellIs" dxfId="46" priority="1460" operator="notEqual">
      <formula>ROUND(L197/L198*100,1)</formula>
    </cfRule>
  </conditionalFormatting>
  <conditionalFormatting sqref="I186">
    <cfRule type="cellIs" dxfId="45" priority="1461" operator="notEqual">
      <formula>ROUND(G198/G9*100,1)</formula>
    </cfRule>
  </conditionalFormatting>
  <conditionalFormatting sqref="J186">
    <cfRule type="cellIs" dxfId="44" priority="1462" operator="notEqual">
      <formula>ROUND(H198/H9*100,1)</formula>
    </cfRule>
  </conditionalFormatting>
  <conditionalFormatting sqref="K186">
    <cfRule type="cellIs" dxfId="43" priority="1463" operator="notEqual">
      <formula>ROUND(G198/E198*1000,1)</formula>
    </cfRule>
  </conditionalFormatting>
  <conditionalFormatting sqref="L186">
    <cfRule type="cellIs" dxfId="42" priority="1464" operator="notEqual">
      <formula>ROUND(H198/F198*1000,1)</formula>
    </cfRule>
  </conditionalFormatting>
  <conditionalFormatting sqref="M186">
    <cfRule type="cellIs" dxfId="41" priority="1465" operator="notEqual">
      <formula>ROUND(K198/L198*100,1)</formula>
    </cfRule>
  </conditionalFormatting>
  <conditionalFormatting sqref="N186">
    <cfRule type="cellIs" dxfId="40" priority="1466" operator="notEqual">
      <formula>ROUND(E198/F198*100,1)</formula>
    </cfRule>
  </conditionalFormatting>
  <conditionalFormatting sqref="O186">
    <cfRule type="cellIs" dxfId="39" priority="1467" operator="notEqual">
      <formula>ROUND(G198/H198*100,1)</formula>
    </cfRule>
  </conditionalFormatting>
  <conditionalFormatting sqref="P186">
    <cfRule type="cellIs" dxfId="38" priority="1468" operator="notEqual">
      <formula>ROUND(E198/E195*100,1)</formula>
    </cfRule>
  </conditionalFormatting>
  <conditionalFormatting sqref="Q186">
    <cfRule type="cellIs" dxfId="37" priority="1469" operator="notEqual">
      <formula>ROUND(F198/F195*100,1)</formula>
    </cfRule>
  </conditionalFormatting>
  <conditionalFormatting sqref="R186">
    <cfRule type="cellIs" dxfId="36" priority="1470" operator="notEqual">
      <formula>ROUND(K198/K197*100,1)</formula>
    </cfRule>
  </conditionalFormatting>
  <conditionalFormatting sqref="S186">
    <cfRule type="cellIs" dxfId="35" priority="1471" operator="notEqual">
      <formula>ROUND(L198/L197*100,1)</formula>
    </cfRule>
  </conditionalFormatting>
  <conditionalFormatting sqref="E187">
    <cfRule type="cellIs" dxfId="34" priority="1472" operator="notEqual">
      <formula>ROUND(SUM(E201:E202),1)</formula>
    </cfRule>
  </conditionalFormatting>
  <conditionalFormatting sqref="F187">
    <cfRule type="cellIs" dxfId="33" priority="1473" operator="notEqual">
      <formula>ROUND(SUM(F201:F202),1)</formula>
    </cfRule>
  </conditionalFormatting>
  <conditionalFormatting sqref="G187">
    <cfRule type="cellIs" dxfId="32" priority="1474" operator="notEqual">
      <formula>ROUND(SUM(G201:G202),1)</formula>
    </cfRule>
  </conditionalFormatting>
  <conditionalFormatting sqref="H187">
    <cfRule type="cellIs" dxfId="31" priority="1475" operator="notEqual">
      <formula>ROUND(SUM(H201:H202),1)</formula>
    </cfRule>
  </conditionalFormatting>
  <conditionalFormatting sqref="I187">
    <cfRule type="cellIs" dxfId="30" priority="1476" operator="notEqual">
      <formula>ROUND(G199/G6*100,1)</formula>
    </cfRule>
  </conditionalFormatting>
  <conditionalFormatting sqref="J187">
    <cfRule type="cellIs" dxfId="29" priority="1477" operator="notEqual">
      <formula>ROUND(H199/H6*100,1)</formula>
    </cfRule>
  </conditionalFormatting>
  <conditionalFormatting sqref="K187">
    <cfRule type="cellIs" dxfId="28" priority="1478" operator="notEqual">
      <formula>ROUND(G199/E199*1000,1)</formula>
    </cfRule>
  </conditionalFormatting>
  <conditionalFormatting sqref="L187">
    <cfRule type="cellIs" dxfId="27" priority="1479" operator="notEqual">
      <formula>ROUND(H199/F199*1000,1)</formula>
    </cfRule>
  </conditionalFormatting>
  <conditionalFormatting sqref="M187">
    <cfRule type="cellIs" dxfId="26" priority="1480" operator="notEqual">
      <formula>ROUND(K199/L199*100,1)</formula>
    </cfRule>
  </conditionalFormatting>
  <conditionalFormatting sqref="N187">
    <cfRule type="cellIs" dxfId="25" priority="1481" operator="notEqual">
      <formula>ROUND(E199/F199*100,1)</formula>
    </cfRule>
  </conditionalFormatting>
  <conditionalFormatting sqref="O187">
    <cfRule type="cellIs" dxfId="24" priority="1482" operator="notEqual">
      <formula>ROUND(G199/H199*100,1)</formula>
    </cfRule>
  </conditionalFormatting>
  <conditionalFormatting sqref="P187">
    <cfRule type="cellIs" dxfId="23" priority="1483" operator="notEqual">
      <formula>ROUND(SUM(P201:P202),1)</formula>
    </cfRule>
  </conditionalFormatting>
  <conditionalFormatting sqref="Q187">
    <cfRule type="cellIs" dxfId="22" priority="1484" operator="notEqual">
      <formula>ROUND(SUM(Q201:Q202),1)</formula>
    </cfRule>
  </conditionalFormatting>
  <conditionalFormatting sqref="I189">
    <cfRule type="cellIs" dxfId="21" priority="1485" operator="notEqual">
      <formula>ROUND(G201/G8*100,1)</formula>
    </cfRule>
  </conditionalFormatting>
  <conditionalFormatting sqref="J189">
    <cfRule type="cellIs" dxfId="20" priority="1486" operator="notEqual">
      <formula>ROUND(H201/H8*100,1)</formula>
    </cfRule>
  </conditionalFormatting>
  <conditionalFormatting sqref="K189">
    <cfRule type="cellIs" dxfId="19" priority="1487" operator="notEqual">
      <formula>ROUND(G201/E201*1000,1)</formula>
    </cfRule>
  </conditionalFormatting>
  <conditionalFormatting sqref="L189">
    <cfRule type="cellIs" dxfId="18" priority="1488" operator="notEqual">
      <formula>ROUND(H201/F201*1000,1)</formula>
    </cfRule>
  </conditionalFormatting>
  <conditionalFormatting sqref="M189">
    <cfRule type="cellIs" dxfId="17" priority="1489" operator="notEqual">
      <formula>ROUND(K201/L201*100,1)</formula>
    </cfRule>
  </conditionalFormatting>
  <conditionalFormatting sqref="N189">
    <cfRule type="cellIs" dxfId="16" priority="1490" operator="notEqual">
      <formula>ROUND(E201/F201*100,1)</formula>
    </cfRule>
  </conditionalFormatting>
  <conditionalFormatting sqref="O189">
    <cfRule type="cellIs" dxfId="15" priority="1491" operator="notEqual">
      <formula>ROUND(G201/H201*100,1)</formula>
    </cfRule>
  </conditionalFormatting>
  <conditionalFormatting sqref="P189">
    <cfRule type="cellIs" dxfId="14" priority="1492" operator="notEqual">
      <formula>ROUND(E201/E199*100,1)</formula>
    </cfRule>
  </conditionalFormatting>
  <conditionalFormatting sqref="Q189">
    <cfRule type="cellIs" dxfId="13" priority="1493" operator="notEqual">
      <formula>ROUND(F201/F199*100,1)</formula>
    </cfRule>
  </conditionalFormatting>
  <conditionalFormatting sqref="R189">
    <cfRule type="cellIs" dxfId="12" priority="1494" operator="notEqual">
      <formula>ROUND(K201/K202*100,1)</formula>
    </cfRule>
  </conditionalFormatting>
  <conditionalFormatting sqref="S189">
    <cfRule type="cellIs" dxfId="11" priority="1495" operator="notEqual">
      <formula>ROUND(L201/L202*100,1)</formula>
    </cfRule>
  </conditionalFormatting>
  <conditionalFormatting sqref="I190">
    <cfRule type="cellIs" dxfId="10" priority="1496" operator="notEqual">
      <formula>ROUND(G202/G9*100,1)</formula>
    </cfRule>
  </conditionalFormatting>
  <conditionalFormatting sqref="J190">
    <cfRule type="cellIs" dxfId="9" priority="1497" operator="notEqual">
      <formula>ROUND(H202/H9*100,1)</formula>
    </cfRule>
  </conditionalFormatting>
  <conditionalFormatting sqref="K190">
    <cfRule type="cellIs" dxfId="8" priority="1498" operator="notEqual">
      <formula>ROUND(G202/E202*1000,1)</formula>
    </cfRule>
  </conditionalFormatting>
  <conditionalFormatting sqref="L190">
    <cfRule type="cellIs" dxfId="7" priority="1499" operator="notEqual">
      <formula>ROUND(H202/F202*1000,1)</formula>
    </cfRule>
  </conditionalFormatting>
  <conditionalFormatting sqref="M190">
    <cfRule type="cellIs" dxfId="6" priority="1500" operator="notEqual">
      <formula>ROUND(K202/L202*100,1)</formula>
    </cfRule>
  </conditionalFormatting>
  <conditionalFormatting sqref="N190">
    <cfRule type="cellIs" dxfId="5" priority="1501" operator="notEqual">
      <formula>ROUND(E202/F202*100,1)</formula>
    </cfRule>
  </conditionalFormatting>
  <conditionalFormatting sqref="O190">
    <cfRule type="cellIs" dxfId="4" priority="1502" operator="notEqual">
      <formula>ROUND(G202/H202*100,1)</formula>
    </cfRule>
  </conditionalFormatting>
  <conditionalFormatting sqref="P190">
    <cfRule type="cellIs" dxfId="3" priority="1503" operator="notEqual">
      <formula>ROUND(F202/F199*100,1)</formula>
    </cfRule>
  </conditionalFormatting>
  <conditionalFormatting sqref="Q190">
    <cfRule type="cellIs" dxfId="2" priority="1504" operator="notEqual">
      <formula>ROUND(H202/H199*100,1)</formula>
    </cfRule>
  </conditionalFormatting>
  <conditionalFormatting sqref="R190">
    <cfRule type="cellIs" dxfId="1" priority="1505" operator="notEqual">
      <formula>ROUND(K202/K201*100,1)</formula>
    </cfRule>
  </conditionalFormatting>
  <conditionalFormatting sqref="S190">
    <cfRule type="cellIs" dxfId="0" priority="1506" operator="notEqual">
      <formula>ROUND(L202/L201*100,1)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2022-11-23T07:51:25Z</dcterms:created>
  <dcterms:modified xsi:type="dcterms:W3CDTF">2025-12-11T07:14:39Z</dcterms:modified>
</cp:coreProperties>
</file>